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hidePivotFieldList="1"/>
  <mc:AlternateContent xmlns:mc="http://schemas.openxmlformats.org/markup-compatibility/2006">
    <mc:Choice Requires="x15">
      <x15ac:absPath xmlns:x15ac="http://schemas.microsoft.com/office/spreadsheetml/2010/11/ac" url="P:\Projekter\21-000\21-075 RN - Energiregnskaber 2020\2 Bilag slutrapport\"/>
    </mc:Choice>
  </mc:AlternateContent>
  <xr:revisionPtr revIDLastSave="0" documentId="13_ncr:1_{3578BC18-186B-4315-B65B-C2689E96CC0E}" xr6:coauthVersionLast="47" xr6:coauthVersionMax="47" xr10:uidLastSave="{00000000-0000-0000-0000-000000000000}"/>
  <bookViews>
    <workbookView xWindow="-120" yWindow="-120" windowWidth="29040" windowHeight="17640" firstSheet="9" activeTab="12" xr2:uid="{4D5116E0-6173-4F7E-9831-F4A72D2007C2}"/>
  </bookViews>
  <sheets>
    <sheet name="Nettab 1081 Region Nordjylland" sheetId="68" r:id="rId1"/>
    <sheet name="Nettab 810 Brønderslev" sheetId="55" r:id="rId2"/>
    <sheet name="Nettab 813 Frederikshavn" sheetId="56" r:id="rId3"/>
    <sheet name="Nettab 860 Hjørring" sheetId="58" r:id="rId4"/>
    <sheet name="Nettab 849 Jammerbugt" sheetId="59" r:id="rId5"/>
    <sheet name="Nettab 825 Læsø" sheetId="60" r:id="rId6"/>
    <sheet name="Nettab 846 Mariagerfjord" sheetId="62" r:id="rId7"/>
    <sheet name="Nettab 773 Morsø" sheetId="63" r:id="rId8"/>
    <sheet name="Nettab 840 Rebild" sheetId="64" r:id="rId9"/>
    <sheet name="Nettab 787 Thisted" sheetId="65" r:id="rId10"/>
    <sheet name="Nettab 820 Vesthimmerland" sheetId="66" r:id="rId11"/>
    <sheet name="Nettab 851 Aalborg" sheetId="67" r:id="rId12"/>
    <sheet name="Brændselsfordeling Nørager" sheetId="72" r:id="rId13"/>
    <sheet name="Brændselsfordeling Suldrup-Aars" sheetId="75" r:id="rId14"/>
    <sheet name="BBR fordeling - Ølgod" sheetId="13" state="hidden" r:id="rId15"/>
    <sheet name="BBR fordeling - Varde Varme" sheetId="21" state="hidden" r:id="rId16"/>
    <sheet name="BBR fordeling - Nørre Nebel" sheetId="22" state="hidden" r:id="rId17"/>
    <sheet name="BBR fordeling - Skovlund" sheetId="23" state="hidden" r:id="rId18"/>
    <sheet name="BBR fordeling - Bramming" sheetId="24" state="hidden" r:id="rId19"/>
    <sheet name="BBR fordeling - Outrup" sheetId="25" state="hidden" r:id="rId20"/>
    <sheet name="BBR fordeling - Ribe" sheetId="26" state="hidden" r:id="rId21"/>
    <sheet name="BBR fordeling - Esbjerg Varme" sheetId="27" state="hidden" r:id="rId22"/>
    <sheet name="BBR fordeling - Oksbøl" sheetId="28" state="hidden" r:id="rId23"/>
    <sheet name="BBR fordeling - Sig" sheetId="29" state="hidden" r:id="rId24"/>
    <sheet name="BBR fordeling - Ansager" sheetId="32" state="hidden" r:id="rId2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2" l="1"/>
  <c r="C15" i="72"/>
  <c r="D15" i="72"/>
  <c r="D12" i="72"/>
  <c r="D11" i="66"/>
  <c r="C11" i="66"/>
  <c r="D7" i="64"/>
  <c r="C7" i="64"/>
  <c r="C8" i="64"/>
  <c r="C10" i="66"/>
  <c r="D37" i="66"/>
  <c r="C37" i="66"/>
  <c r="D36" i="66"/>
  <c r="C36" i="66"/>
  <c r="D24" i="66"/>
  <c r="C24" i="66"/>
  <c r="D23" i="66"/>
  <c r="C23" i="66"/>
  <c r="D38" i="64"/>
  <c r="C38" i="64"/>
  <c r="D23" i="64"/>
  <c r="C23" i="64"/>
  <c r="D5" i="72"/>
  <c r="D7" i="72" s="1"/>
  <c r="B12" i="72" l="1"/>
  <c r="C12" i="72"/>
  <c r="A12" i="72"/>
  <c r="C8" i="72"/>
  <c r="C13" i="72" s="1"/>
  <c r="B8" i="72"/>
  <c r="B14" i="72" s="1"/>
  <c r="A13" i="75"/>
  <c r="A12" i="75"/>
  <c r="A11" i="75"/>
  <c r="D7" i="75"/>
  <c r="D11" i="75" s="1"/>
  <c r="C7" i="75"/>
  <c r="C12" i="75" s="1"/>
  <c r="B7" i="75"/>
  <c r="B12" i="75" s="1"/>
  <c r="A15" i="72"/>
  <c r="A14" i="72"/>
  <c r="A13" i="72"/>
  <c r="B11" i="75" l="1"/>
  <c r="B13" i="75" s="1"/>
  <c r="C11" i="75"/>
  <c r="C13" i="75" s="1"/>
  <c r="D12" i="75"/>
  <c r="D13" i="75" s="1"/>
  <c r="C14" i="72"/>
  <c r="B13" i="72"/>
  <c r="D13" i="72"/>
  <c r="D14" i="72"/>
  <c r="H11" i="68" l="1"/>
  <c r="C28" i="67" l="1"/>
  <c r="D27" i="67"/>
  <c r="C27" i="67"/>
  <c r="E27" i="67" s="1"/>
  <c r="F27" i="67" s="1"/>
  <c r="G27" i="67" s="1"/>
  <c r="F26" i="67"/>
  <c r="E26" i="67"/>
  <c r="D26" i="67" s="1"/>
  <c r="D28" i="67" s="1"/>
  <c r="E25" i="67"/>
  <c r="F25" i="67" s="1"/>
  <c r="E24" i="67"/>
  <c r="F24" i="67" s="1"/>
  <c r="E23" i="67"/>
  <c r="F23" i="67" s="1"/>
  <c r="E22" i="67"/>
  <c r="F22" i="67" s="1"/>
  <c r="E21" i="67"/>
  <c r="F21" i="67" s="1"/>
  <c r="E20" i="67"/>
  <c r="F20" i="67" s="1"/>
  <c r="E19" i="67"/>
  <c r="F19" i="67" s="1"/>
  <c r="E9" i="68"/>
  <c r="C13" i="68"/>
  <c r="B13" i="68"/>
  <c r="C11" i="68"/>
  <c r="B11" i="68"/>
  <c r="D9" i="68"/>
  <c r="D8" i="68"/>
  <c r="C8" i="68"/>
  <c r="B8" i="68"/>
  <c r="C7" i="68"/>
  <c r="B7" i="68"/>
  <c r="D5" i="68"/>
  <c r="C5" i="68"/>
  <c r="B5" i="68"/>
  <c r="C12" i="66"/>
  <c r="B14" i="68" s="1"/>
  <c r="E11" i="66"/>
  <c r="F11" i="66" s="1"/>
  <c r="D12" i="66"/>
  <c r="C14" i="68" s="1"/>
  <c r="E9" i="66"/>
  <c r="F9" i="66" s="1"/>
  <c r="E8" i="66"/>
  <c r="F8" i="66" s="1"/>
  <c r="E7" i="66"/>
  <c r="F7" i="66" s="1"/>
  <c r="E6" i="66"/>
  <c r="F6" i="66" s="1"/>
  <c r="E5" i="66"/>
  <c r="F5" i="66" s="1"/>
  <c r="D16" i="65"/>
  <c r="C16" i="65"/>
  <c r="E15" i="65"/>
  <c r="F15" i="65" s="1"/>
  <c r="E14" i="65"/>
  <c r="F14" i="65" s="1"/>
  <c r="E13" i="65"/>
  <c r="F13" i="65" s="1"/>
  <c r="E12" i="65"/>
  <c r="F12" i="65" s="1"/>
  <c r="E11" i="65"/>
  <c r="F11" i="65" s="1"/>
  <c r="E10" i="65"/>
  <c r="F10" i="65" s="1"/>
  <c r="E9" i="65"/>
  <c r="F9" i="65" s="1"/>
  <c r="E8" i="65"/>
  <c r="F8" i="65" s="1"/>
  <c r="E7" i="65"/>
  <c r="F7" i="65" s="1"/>
  <c r="E6" i="65"/>
  <c r="F6" i="65" s="1"/>
  <c r="E5" i="65"/>
  <c r="F5" i="65" s="1"/>
  <c r="E13" i="64"/>
  <c r="F13" i="64" s="1"/>
  <c r="E12" i="64"/>
  <c r="F12" i="64" s="1"/>
  <c r="E11" i="64"/>
  <c r="F11" i="64" s="1"/>
  <c r="E10" i="64"/>
  <c r="F10" i="64" s="1"/>
  <c r="E9" i="64"/>
  <c r="F9" i="64" s="1"/>
  <c r="D14" i="64"/>
  <c r="C12" i="68" s="1"/>
  <c r="E7" i="64"/>
  <c r="F7" i="64" s="1"/>
  <c r="E6" i="64"/>
  <c r="F6" i="64" s="1"/>
  <c r="E5" i="64"/>
  <c r="F5" i="64" s="1"/>
  <c r="D8" i="63"/>
  <c r="C7" i="63"/>
  <c r="C8" i="63" s="1"/>
  <c r="E8" i="63" s="1"/>
  <c r="F8" i="63" s="1"/>
  <c r="E6" i="63"/>
  <c r="F6" i="63" s="1"/>
  <c r="E5" i="63"/>
  <c r="F5" i="63" s="1"/>
  <c r="D16" i="62"/>
  <c r="C10" i="68" s="1"/>
  <c r="C16" i="62"/>
  <c r="B10" i="68" s="1"/>
  <c r="E15" i="62"/>
  <c r="F15" i="62" s="1"/>
  <c r="E14" i="62"/>
  <c r="F14" i="62" s="1"/>
  <c r="E13" i="62"/>
  <c r="F13" i="62" s="1"/>
  <c r="E12" i="62"/>
  <c r="F12" i="62" s="1"/>
  <c r="E11" i="62"/>
  <c r="F11" i="62" s="1"/>
  <c r="E10" i="62"/>
  <c r="F10" i="62" s="1"/>
  <c r="E9" i="62"/>
  <c r="F9" i="62" s="1"/>
  <c r="E8" i="62"/>
  <c r="F8" i="62" s="1"/>
  <c r="E7" i="62"/>
  <c r="F7" i="62" s="1"/>
  <c r="E6" i="62"/>
  <c r="F6" i="62" s="1"/>
  <c r="E5" i="62"/>
  <c r="F5" i="62" s="1"/>
  <c r="D6" i="60"/>
  <c r="C6" i="60"/>
  <c r="E6" i="60" s="1"/>
  <c r="E5" i="60"/>
  <c r="F5" i="60" s="1"/>
  <c r="D17" i="59"/>
  <c r="C17" i="59"/>
  <c r="E16" i="59"/>
  <c r="F16" i="59" s="1"/>
  <c r="E15" i="59"/>
  <c r="F15" i="59" s="1"/>
  <c r="E14" i="59"/>
  <c r="F14" i="59" s="1"/>
  <c r="E13" i="59"/>
  <c r="F13" i="59" s="1"/>
  <c r="E12" i="59"/>
  <c r="F12" i="59" s="1"/>
  <c r="E11" i="59"/>
  <c r="F11" i="59" s="1"/>
  <c r="E10" i="59"/>
  <c r="F10" i="59" s="1"/>
  <c r="E9" i="59"/>
  <c r="F9" i="59" s="1"/>
  <c r="E8" i="59"/>
  <c r="F8" i="59" s="1"/>
  <c r="E7" i="59"/>
  <c r="F7" i="59" s="1"/>
  <c r="E6" i="59"/>
  <c r="F6" i="59" s="1"/>
  <c r="E5" i="59"/>
  <c r="F5" i="59" s="1"/>
  <c r="D5" i="56"/>
  <c r="E5" i="56" s="1"/>
  <c r="F5" i="56" s="1"/>
  <c r="E19" i="56"/>
  <c r="F19" i="56"/>
  <c r="E20" i="56"/>
  <c r="F20" i="56"/>
  <c r="E21" i="56"/>
  <c r="F21" i="56" s="1"/>
  <c r="E22" i="56"/>
  <c r="F22" i="56"/>
  <c r="E23" i="56"/>
  <c r="F23" i="56"/>
  <c r="E24" i="56"/>
  <c r="F24" i="56"/>
  <c r="E25" i="56"/>
  <c r="F25" i="56" s="1"/>
  <c r="E26" i="56"/>
  <c r="F26" i="56"/>
  <c r="E27" i="56"/>
  <c r="F27" i="56"/>
  <c r="E28" i="56"/>
  <c r="F28" i="56"/>
  <c r="D15" i="56"/>
  <c r="C6" i="68" s="1"/>
  <c r="C15" i="56"/>
  <c r="B6" i="68" s="1"/>
  <c r="E14" i="56"/>
  <c r="F14" i="56" s="1"/>
  <c r="E12" i="56"/>
  <c r="F12" i="56" s="1"/>
  <c r="E11" i="56"/>
  <c r="F11" i="56" s="1"/>
  <c r="E10" i="56"/>
  <c r="F10" i="56" s="1"/>
  <c r="E9" i="56"/>
  <c r="F9" i="56" s="1"/>
  <c r="E8" i="56"/>
  <c r="F8" i="56" s="1"/>
  <c r="E7" i="56"/>
  <c r="F7" i="56" s="1"/>
  <c r="E6" i="56"/>
  <c r="F6" i="56" s="1"/>
  <c r="D15" i="55"/>
  <c r="C15" i="55"/>
  <c r="E14" i="55"/>
  <c r="F14" i="55" s="1"/>
  <c r="E13" i="55"/>
  <c r="F13" i="55" s="1"/>
  <c r="E12" i="55"/>
  <c r="F12" i="55" s="1"/>
  <c r="E11" i="55"/>
  <c r="F11" i="55" s="1"/>
  <c r="E10" i="55"/>
  <c r="F10" i="55" s="1"/>
  <c r="E9" i="55"/>
  <c r="F9" i="55" s="1"/>
  <c r="E8" i="55"/>
  <c r="F8" i="55" s="1"/>
  <c r="E7" i="55"/>
  <c r="F7" i="55" s="1"/>
  <c r="E6" i="55"/>
  <c r="F6" i="55" s="1"/>
  <c r="E5" i="55"/>
  <c r="E8" i="64" l="1"/>
  <c r="E28" i="67"/>
  <c r="F28" i="67" s="1"/>
  <c r="G28" i="67" s="1"/>
  <c r="E12" i="66"/>
  <c r="F12" i="66" s="1"/>
  <c r="E10" i="66"/>
  <c r="F10" i="66" s="1"/>
  <c r="E16" i="65"/>
  <c r="F16" i="65" s="1"/>
  <c r="C14" i="64"/>
  <c r="E7" i="63"/>
  <c r="F7" i="63" s="1"/>
  <c r="E16" i="62"/>
  <c r="F16" i="62" s="1"/>
  <c r="E17" i="59"/>
  <c r="F17" i="59" s="1"/>
  <c r="E15" i="56"/>
  <c r="E15" i="55"/>
  <c r="F15" i="55" s="1"/>
  <c r="F5" i="55"/>
  <c r="F15" i="56" l="1"/>
  <c r="D6" i="68"/>
  <c r="E14" i="64"/>
  <c r="F14" i="64" s="1"/>
  <c r="B12" i="68"/>
  <c r="D12" i="68" s="1"/>
  <c r="E12" i="68" s="1"/>
  <c r="D14" i="68"/>
  <c r="E14" i="68" s="1"/>
  <c r="D13" i="68"/>
  <c r="E13" i="68" s="1"/>
  <c r="D11" i="68"/>
  <c r="E11" i="68" s="1"/>
  <c r="D10" i="68"/>
  <c r="E10" i="68" s="1"/>
  <c r="E5" i="68"/>
  <c r="C66" i="58"/>
  <c r="B66" i="58"/>
  <c r="D66" i="58" s="1"/>
  <c r="E66" i="58" s="1"/>
  <c r="E6" i="68" l="1"/>
  <c r="D7" i="68"/>
  <c r="E7" i="68" s="1"/>
  <c r="E8" i="68"/>
  <c r="E24" i="68"/>
  <c r="E12" i="67" l="1"/>
  <c r="D12" i="67" s="1"/>
  <c r="D22" i="64"/>
  <c r="C22" i="64"/>
  <c r="C14" i="63"/>
  <c r="E23" i="55"/>
  <c r="C14" i="67" l="1"/>
  <c r="D13" i="67"/>
  <c r="C13" i="67"/>
  <c r="F12" i="67"/>
  <c r="D14" i="67"/>
  <c r="E11" i="67"/>
  <c r="F11" i="67" s="1"/>
  <c r="E10" i="67"/>
  <c r="F10" i="67" s="1"/>
  <c r="E9" i="67"/>
  <c r="F9" i="67" s="1"/>
  <c r="E8" i="67"/>
  <c r="F8" i="67" s="1"/>
  <c r="E7" i="67"/>
  <c r="F7" i="67" s="1"/>
  <c r="E6" i="67"/>
  <c r="F6" i="67" s="1"/>
  <c r="E5" i="67"/>
  <c r="F5" i="67" s="1"/>
  <c r="E33" i="67"/>
  <c r="F33" i="67" s="1"/>
  <c r="E34" i="67"/>
  <c r="F34" i="67" s="1"/>
  <c r="E35" i="67"/>
  <c r="F35" i="67" s="1"/>
  <c r="E36" i="67"/>
  <c r="F36" i="67" s="1"/>
  <c r="E37" i="67"/>
  <c r="F37" i="67" s="1"/>
  <c r="E38" i="67"/>
  <c r="F38" i="67" s="1"/>
  <c r="E39" i="67"/>
  <c r="F39" i="67" s="1"/>
  <c r="E40" i="67"/>
  <c r="D40" i="67" s="1"/>
  <c r="D42" i="67" s="1"/>
  <c r="C41" i="67"/>
  <c r="D41" i="67"/>
  <c r="C42" i="67"/>
  <c r="E24" i="66"/>
  <c r="F24" i="66" s="1"/>
  <c r="E23" i="66"/>
  <c r="F23" i="66" s="1"/>
  <c r="D25" i="66"/>
  <c r="C29" i="68" s="1"/>
  <c r="C25" i="66"/>
  <c r="B29" i="68" s="1"/>
  <c r="E22" i="66"/>
  <c r="F22" i="66" s="1"/>
  <c r="E21" i="66"/>
  <c r="F21" i="66" s="1"/>
  <c r="E20" i="66"/>
  <c r="F20" i="66" s="1"/>
  <c r="E19" i="66"/>
  <c r="F19" i="66" s="1"/>
  <c r="E18" i="66"/>
  <c r="F18" i="66" s="1"/>
  <c r="D32" i="65"/>
  <c r="C28" i="68" s="1"/>
  <c r="C32" i="65"/>
  <c r="E31" i="65"/>
  <c r="F31" i="65" s="1"/>
  <c r="E30" i="65"/>
  <c r="F30" i="65" s="1"/>
  <c r="E29" i="65"/>
  <c r="F29" i="65" s="1"/>
  <c r="E28" i="65"/>
  <c r="F28" i="65" s="1"/>
  <c r="E27" i="65"/>
  <c r="F27" i="65" s="1"/>
  <c r="E26" i="65"/>
  <c r="F26" i="65" s="1"/>
  <c r="E25" i="65"/>
  <c r="F25" i="65" s="1"/>
  <c r="E24" i="65"/>
  <c r="F24" i="65" s="1"/>
  <c r="E23" i="65"/>
  <c r="F23" i="65" s="1"/>
  <c r="E22" i="65"/>
  <c r="F22" i="65" s="1"/>
  <c r="E21" i="65"/>
  <c r="F21" i="65" s="1"/>
  <c r="E28" i="64"/>
  <c r="F28" i="64" s="1"/>
  <c r="E27" i="64"/>
  <c r="F27" i="64" s="1"/>
  <c r="E26" i="64"/>
  <c r="F26" i="64" s="1"/>
  <c r="E25" i="64"/>
  <c r="F25" i="64" s="1"/>
  <c r="E24" i="64"/>
  <c r="F24" i="64" s="1"/>
  <c r="D29" i="64"/>
  <c r="C27" i="68" s="1"/>
  <c r="E22" i="64"/>
  <c r="F22" i="64" s="1"/>
  <c r="C29" i="64"/>
  <c r="B27" i="68" s="1"/>
  <c r="E21" i="64"/>
  <c r="F21" i="64" s="1"/>
  <c r="E20" i="64"/>
  <c r="F20" i="64" s="1"/>
  <c r="D15" i="63"/>
  <c r="C26" i="68" s="1"/>
  <c r="E14" i="63"/>
  <c r="F14" i="63" s="1"/>
  <c r="E13" i="63"/>
  <c r="F13" i="63" s="1"/>
  <c r="E12" i="63"/>
  <c r="F12" i="63" s="1"/>
  <c r="D31" i="62"/>
  <c r="C25" i="68" s="1"/>
  <c r="C31" i="62"/>
  <c r="B25" i="68" s="1"/>
  <c r="E30" i="62"/>
  <c r="F30" i="62" s="1"/>
  <c r="E29" i="62"/>
  <c r="F29" i="62" s="1"/>
  <c r="E28" i="62"/>
  <c r="F28" i="62" s="1"/>
  <c r="E27" i="62"/>
  <c r="F27" i="62" s="1"/>
  <c r="E26" i="62"/>
  <c r="F26" i="62" s="1"/>
  <c r="E25" i="62"/>
  <c r="F25" i="62" s="1"/>
  <c r="E24" i="62"/>
  <c r="F24" i="62" s="1"/>
  <c r="E23" i="62"/>
  <c r="F23" i="62" s="1"/>
  <c r="E22" i="62"/>
  <c r="F22" i="62" s="1"/>
  <c r="E21" i="62"/>
  <c r="F21" i="62" s="1"/>
  <c r="E20" i="62"/>
  <c r="F20" i="62" s="1"/>
  <c r="D11" i="60"/>
  <c r="C24" i="68" s="1"/>
  <c r="C11" i="60"/>
  <c r="B24" i="68" s="1"/>
  <c r="D24" i="68" s="1"/>
  <c r="E10" i="60"/>
  <c r="F10" i="60" s="1"/>
  <c r="C33" i="59"/>
  <c r="B23" i="68" s="1"/>
  <c r="E32" i="59"/>
  <c r="F32" i="59" s="1"/>
  <c r="E31" i="59"/>
  <c r="F31" i="59" s="1"/>
  <c r="E30" i="59"/>
  <c r="F30" i="59" s="1"/>
  <c r="E29" i="59"/>
  <c r="F29" i="59" s="1"/>
  <c r="E28" i="59"/>
  <c r="F28" i="59" s="1"/>
  <c r="E27" i="59"/>
  <c r="F27" i="59" s="1"/>
  <c r="E26" i="59"/>
  <c r="F26" i="59" s="1"/>
  <c r="E25" i="59"/>
  <c r="F25" i="59" s="1"/>
  <c r="E24" i="59"/>
  <c r="F24" i="59" s="1"/>
  <c r="E23" i="59"/>
  <c r="F23" i="59" s="1"/>
  <c r="E22" i="59"/>
  <c r="F22" i="59" s="1"/>
  <c r="D33" i="59"/>
  <c r="C23" i="68" s="1"/>
  <c r="D17" i="58"/>
  <c r="C22" i="68" s="1"/>
  <c r="C17" i="58"/>
  <c r="B22" i="68" s="1"/>
  <c r="E16" i="58"/>
  <c r="F16" i="58" s="1"/>
  <c r="E15" i="58"/>
  <c r="F15" i="58" s="1"/>
  <c r="E14" i="58"/>
  <c r="F14" i="58" s="1"/>
  <c r="E13" i="58"/>
  <c r="F13" i="58" s="1"/>
  <c r="E12" i="58"/>
  <c r="F12" i="58" s="1"/>
  <c r="E11" i="58"/>
  <c r="F11" i="58" s="1"/>
  <c r="E10" i="58"/>
  <c r="F10" i="58" s="1"/>
  <c r="E9" i="58"/>
  <c r="F9" i="58" s="1"/>
  <c r="E8" i="58"/>
  <c r="F8" i="58" s="1"/>
  <c r="E7" i="58"/>
  <c r="F7" i="58" s="1"/>
  <c r="E6" i="58"/>
  <c r="F6" i="58" s="1"/>
  <c r="E5" i="58"/>
  <c r="F5" i="58" s="1"/>
  <c r="D29" i="56"/>
  <c r="C21" i="68" s="1"/>
  <c r="C29" i="56"/>
  <c r="B21" i="68" s="1"/>
  <c r="D21" i="68" s="1"/>
  <c r="E21" i="68" s="1"/>
  <c r="D29" i="55"/>
  <c r="C20" i="68" s="1"/>
  <c r="C29" i="55"/>
  <c r="B20" i="68" s="1"/>
  <c r="E28" i="55"/>
  <c r="F28" i="55" s="1"/>
  <c r="E27" i="55"/>
  <c r="F27" i="55" s="1"/>
  <c r="E26" i="55"/>
  <c r="F26" i="55" s="1"/>
  <c r="E25" i="55"/>
  <c r="F25" i="55" s="1"/>
  <c r="E24" i="55"/>
  <c r="F24" i="55" s="1"/>
  <c r="F23" i="55"/>
  <c r="E22" i="55"/>
  <c r="F22" i="55" s="1"/>
  <c r="E21" i="55"/>
  <c r="F21" i="55" s="1"/>
  <c r="E20" i="55"/>
  <c r="F20" i="55" s="1"/>
  <c r="E19" i="55"/>
  <c r="E41" i="67" l="1"/>
  <c r="F41" i="67" s="1"/>
  <c r="E42" i="67"/>
  <c r="F42" i="67" s="1"/>
  <c r="B30" i="68"/>
  <c r="B15" i="68"/>
  <c r="C30" i="68"/>
  <c r="D30" i="68" s="1"/>
  <c r="E30" i="68" s="1"/>
  <c r="C15" i="68"/>
  <c r="C16" i="68" s="1"/>
  <c r="D23" i="68"/>
  <c r="E23" i="68" s="1"/>
  <c r="D27" i="68"/>
  <c r="E27" i="68" s="1"/>
  <c r="E32" i="65"/>
  <c r="F32" i="65" s="1"/>
  <c r="B28" i="68"/>
  <c r="D29" i="68"/>
  <c r="E29" i="68" s="1"/>
  <c r="F40" i="67"/>
  <c r="E11" i="60"/>
  <c r="D28" i="68"/>
  <c r="E28" i="68" s="1"/>
  <c r="D25" i="68"/>
  <c r="E25" i="68" s="1"/>
  <c r="C31" i="68"/>
  <c r="D22" i="68"/>
  <c r="E22" i="68" s="1"/>
  <c r="D20" i="68"/>
  <c r="E20" i="68" s="1"/>
  <c r="E25" i="66"/>
  <c r="F25" i="66" s="1"/>
  <c r="E31" i="62"/>
  <c r="F31" i="62" s="1"/>
  <c r="E13" i="67"/>
  <c r="F13" i="67" s="1"/>
  <c r="G13" i="67" s="1"/>
  <c r="E14" i="67"/>
  <c r="F14" i="67" s="1"/>
  <c r="G14" i="67" s="1"/>
  <c r="E29" i="64"/>
  <c r="F29" i="64" s="1"/>
  <c r="E23" i="64"/>
  <c r="C15" i="63"/>
  <c r="E33" i="59"/>
  <c r="F33" i="59" s="1"/>
  <c r="E21" i="59"/>
  <c r="F21" i="59" s="1"/>
  <c r="E17" i="58"/>
  <c r="F17" i="58" s="1"/>
  <c r="E29" i="56"/>
  <c r="F29" i="56" s="1"/>
  <c r="E29" i="55"/>
  <c r="F29" i="55" s="1"/>
  <c r="F19" i="55"/>
  <c r="C56" i="68"/>
  <c r="B56" i="68"/>
  <c r="C54" i="68"/>
  <c r="B54" i="68"/>
  <c r="D15" i="68" l="1"/>
  <c r="E15" i="68" s="1"/>
  <c r="B16" i="68"/>
  <c r="D16" i="68" s="1"/>
  <c r="E16" i="68" s="1"/>
  <c r="D56" i="68"/>
  <c r="E15" i="63"/>
  <c r="F15" i="63" s="1"/>
  <c r="B26" i="68"/>
  <c r="D54" i="68"/>
  <c r="E54" i="68" s="1"/>
  <c r="D26" i="68" l="1"/>
  <c r="E26" i="68" s="1"/>
  <c r="B31" i="68"/>
  <c r="D31" i="68" s="1"/>
  <c r="E31" i="68" s="1"/>
  <c r="C21" i="63"/>
  <c r="E38" i="64" l="1"/>
  <c r="F38" i="64" s="1"/>
  <c r="E36" i="66"/>
  <c r="F36" i="66" s="1"/>
  <c r="C50" i="58"/>
  <c r="B50" i="58"/>
  <c r="D50" i="58"/>
  <c r="E50" i="58"/>
  <c r="D39" i="58"/>
  <c r="D40" i="58"/>
  <c r="E40" i="58" s="1"/>
  <c r="D41" i="58"/>
  <c r="D42" i="58"/>
  <c r="E42" i="58" s="1"/>
  <c r="D43" i="58"/>
  <c r="D44" i="58"/>
  <c r="E44" i="58"/>
  <c r="D45" i="58"/>
  <c r="E45" i="58" s="1"/>
  <c r="D46" i="58"/>
  <c r="E46" i="58" s="1"/>
  <c r="D47" i="58"/>
  <c r="D48" i="58"/>
  <c r="E48" i="58"/>
  <c r="D49" i="58"/>
  <c r="E49" i="58" s="1"/>
  <c r="D38" i="58"/>
  <c r="E38" i="58" s="1"/>
  <c r="E39" i="58"/>
  <c r="E41" i="58"/>
  <c r="E43" i="58"/>
  <c r="E47" i="58"/>
  <c r="E21" i="60"/>
  <c r="B80" i="65"/>
  <c r="B60" i="68" s="1"/>
  <c r="D79" i="65"/>
  <c r="E79" i="65" s="1"/>
  <c r="D78" i="65"/>
  <c r="E78" i="65" s="1"/>
  <c r="D77" i="65"/>
  <c r="E77" i="65" s="1"/>
  <c r="D76" i="65"/>
  <c r="C75" i="65"/>
  <c r="D75" i="65" s="1"/>
  <c r="E75" i="65" s="1"/>
  <c r="C74" i="65"/>
  <c r="D74" i="65" s="1"/>
  <c r="E74" i="65" s="1"/>
  <c r="D73" i="65"/>
  <c r="E73" i="65" s="1"/>
  <c r="D72" i="65"/>
  <c r="E72" i="65" s="1"/>
  <c r="D71" i="65"/>
  <c r="E71" i="65" s="1"/>
  <c r="D70" i="65"/>
  <c r="E70" i="65" s="1"/>
  <c r="D69" i="65"/>
  <c r="D38" i="66"/>
  <c r="C46" i="68"/>
  <c r="B46" i="68"/>
  <c r="C55" i="67"/>
  <c r="B55" i="67"/>
  <c r="C56" i="67"/>
  <c r="C62" i="68" s="1"/>
  <c r="B56" i="67"/>
  <c r="B62" i="68" s="1"/>
  <c r="D54" i="67"/>
  <c r="E54" i="67" s="1"/>
  <c r="D53" i="67"/>
  <c r="E53" i="67" s="1"/>
  <c r="D52" i="67"/>
  <c r="E52" i="67" s="1"/>
  <c r="D51" i="67"/>
  <c r="E51" i="67" s="1"/>
  <c r="D50" i="67"/>
  <c r="E50" i="67" s="1"/>
  <c r="D49" i="67"/>
  <c r="E49" i="67" s="1"/>
  <c r="D48" i="67"/>
  <c r="E48" i="67" s="1"/>
  <c r="D47" i="67"/>
  <c r="E35" i="66"/>
  <c r="F35" i="66" s="1"/>
  <c r="E34" i="66"/>
  <c r="F34" i="66"/>
  <c r="E33" i="66"/>
  <c r="F33" i="66" s="1"/>
  <c r="E32" i="66"/>
  <c r="F32" i="66" s="1"/>
  <c r="E31" i="66"/>
  <c r="F31" i="66" s="1"/>
  <c r="B64" i="65"/>
  <c r="D63" i="65"/>
  <c r="E63" i="65" s="1"/>
  <c r="D62" i="65"/>
  <c r="E62" i="65" s="1"/>
  <c r="D61" i="65"/>
  <c r="E61" i="65" s="1"/>
  <c r="D60" i="65"/>
  <c r="D59" i="65"/>
  <c r="E59" i="65" s="1"/>
  <c r="D58" i="65"/>
  <c r="E58" i="65" s="1"/>
  <c r="D57" i="65"/>
  <c r="E57" i="65" s="1"/>
  <c r="D56" i="65"/>
  <c r="E56" i="65" s="1"/>
  <c r="D55" i="65"/>
  <c r="E55" i="65" s="1"/>
  <c r="D54" i="65"/>
  <c r="E54" i="65" s="1"/>
  <c r="D53" i="65"/>
  <c r="C64" i="65"/>
  <c r="D48" i="65"/>
  <c r="C44" i="68" s="1"/>
  <c r="C48" i="65"/>
  <c r="B44" i="68" s="1"/>
  <c r="E47" i="65"/>
  <c r="F47" i="65" s="1"/>
  <c r="E46" i="65"/>
  <c r="F46" i="65" s="1"/>
  <c r="E45" i="65"/>
  <c r="F45" i="65" s="1"/>
  <c r="E44" i="65"/>
  <c r="F44" i="65" s="1"/>
  <c r="E43" i="65"/>
  <c r="F43" i="65" s="1"/>
  <c r="E42" i="65"/>
  <c r="F42" i="65" s="1"/>
  <c r="E41" i="65"/>
  <c r="F41" i="65" s="1"/>
  <c r="E40" i="65"/>
  <c r="F40" i="65" s="1"/>
  <c r="E39" i="65"/>
  <c r="F39" i="65" s="1"/>
  <c r="E38" i="65"/>
  <c r="F38" i="65" s="1"/>
  <c r="E37" i="65"/>
  <c r="F37" i="65" s="1"/>
  <c r="D37" i="64"/>
  <c r="C37" i="64"/>
  <c r="C44" i="64" s="1"/>
  <c r="B43" i="68" s="1"/>
  <c r="C62" i="64"/>
  <c r="C59" i="68" s="1"/>
  <c r="B62" i="64"/>
  <c r="B59" i="68" s="1"/>
  <c r="D61" i="64"/>
  <c r="E61" i="64" s="1"/>
  <c r="D60" i="64"/>
  <c r="E60" i="64" s="1"/>
  <c r="D59" i="64"/>
  <c r="E59" i="64" s="1"/>
  <c r="D58" i="64"/>
  <c r="E58" i="64" s="1"/>
  <c r="D57" i="64"/>
  <c r="E57" i="64" s="1"/>
  <c r="D56" i="64"/>
  <c r="E56" i="64" s="1"/>
  <c r="D55" i="64"/>
  <c r="E55" i="64" s="1"/>
  <c r="D54" i="64"/>
  <c r="E54" i="64" s="1"/>
  <c r="D53" i="64"/>
  <c r="E53" i="64" s="1"/>
  <c r="D52" i="64"/>
  <c r="E52" i="64" s="1"/>
  <c r="D51" i="64"/>
  <c r="E51" i="64" s="1"/>
  <c r="E43" i="64"/>
  <c r="F43" i="64" s="1"/>
  <c r="E42" i="64"/>
  <c r="F42" i="64" s="1"/>
  <c r="E41" i="64"/>
  <c r="F41" i="64" s="1"/>
  <c r="E40" i="64"/>
  <c r="F40" i="64" s="1"/>
  <c r="E39" i="64"/>
  <c r="F39" i="64" s="1"/>
  <c r="E36" i="64"/>
  <c r="F36" i="64" s="1"/>
  <c r="E35" i="64"/>
  <c r="F35" i="64" s="1"/>
  <c r="B30" i="63"/>
  <c r="B58" i="68" s="1"/>
  <c r="D29" i="63"/>
  <c r="E29" i="63" s="1"/>
  <c r="C28" i="63"/>
  <c r="D28" i="63" s="1"/>
  <c r="D27" i="63"/>
  <c r="E27" i="63" s="1"/>
  <c r="D22" i="63"/>
  <c r="C42" i="68" s="1"/>
  <c r="C22" i="63"/>
  <c r="B42" i="68" s="1"/>
  <c r="E21" i="63"/>
  <c r="F21" i="63" s="1"/>
  <c r="E20" i="63"/>
  <c r="F20" i="63" s="1"/>
  <c r="E19" i="63"/>
  <c r="F19" i="63" s="1"/>
  <c r="D61" i="62"/>
  <c r="E61" i="62" s="1"/>
  <c r="D60" i="62"/>
  <c r="E60" i="62" s="1"/>
  <c r="D59" i="62"/>
  <c r="E59" i="62" s="1"/>
  <c r="D58" i="62"/>
  <c r="E58" i="62" s="1"/>
  <c r="D57" i="62"/>
  <c r="E57" i="62" s="1"/>
  <c r="D56" i="62"/>
  <c r="E56" i="62" s="1"/>
  <c r="D55" i="62"/>
  <c r="E55" i="62" s="1"/>
  <c r="D54" i="62"/>
  <c r="E54" i="62"/>
  <c r="D53" i="62"/>
  <c r="E53" i="62" s="1"/>
  <c r="D52" i="62"/>
  <c r="E52" i="62" s="1"/>
  <c r="D51" i="62"/>
  <c r="E51" i="62" s="1"/>
  <c r="C62" i="62"/>
  <c r="C57" i="68" s="1"/>
  <c r="B62" i="62"/>
  <c r="B57" i="68" s="1"/>
  <c r="D46" i="62"/>
  <c r="C41" i="68" s="1"/>
  <c r="C46" i="62"/>
  <c r="B41" i="68" s="1"/>
  <c r="E45" i="62"/>
  <c r="F45" i="62" s="1"/>
  <c r="E44" i="62"/>
  <c r="F44" i="62" s="1"/>
  <c r="E43" i="62"/>
  <c r="F43" i="62" s="1"/>
  <c r="E42" i="62"/>
  <c r="F42" i="62" s="1"/>
  <c r="E41" i="62"/>
  <c r="F41" i="62" s="1"/>
  <c r="E40" i="62"/>
  <c r="F40" i="62" s="1"/>
  <c r="E39" i="62"/>
  <c r="F39" i="62" s="1"/>
  <c r="E38" i="62"/>
  <c r="F38" i="62" s="1"/>
  <c r="E37" i="62"/>
  <c r="F37" i="62" s="1"/>
  <c r="E36" i="62"/>
  <c r="F36" i="62" s="1"/>
  <c r="E35" i="62"/>
  <c r="F35" i="62" s="1"/>
  <c r="B22" i="60"/>
  <c r="C22" i="60"/>
  <c r="C16" i="60"/>
  <c r="B40" i="68" s="1"/>
  <c r="E15" i="60"/>
  <c r="F15" i="60" s="1"/>
  <c r="D16" i="60"/>
  <c r="C40" i="68" s="1"/>
  <c r="D37" i="59"/>
  <c r="D49" i="59" s="1"/>
  <c r="B66" i="59"/>
  <c r="B55" i="68" s="1"/>
  <c r="D65" i="59"/>
  <c r="E65" i="59" s="1"/>
  <c r="C64" i="59"/>
  <c r="D64" i="59" s="1"/>
  <c r="E64" i="59" s="1"/>
  <c r="C63" i="59"/>
  <c r="D62" i="59"/>
  <c r="E62" i="59" s="1"/>
  <c r="D61" i="59"/>
  <c r="E61" i="59" s="1"/>
  <c r="D60" i="59"/>
  <c r="E60" i="59" s="1"/>
  <c r="D59" i="59"/>
  <c r="E59" i="59" s="1"/>
  <c r="D58" i="59"/>
  <c r="E58" i="59" s="1"/>
  <c r="D57" i="59"/>
  <c r="E57" i="59" s="1"/>
  <c r="D56" i="59"/>
  <c r="E56" i="59" s="1"/>
  <c r="D55" i="59"/>
  <c r="E55" i="59" s="1"/>
  <c r="D54" i="59"/>
  <c r="E54" i="59" s="1"/>
  <c r="D22" i="60"/>
  <c r="C49" i="59"/>
  <c r="B39" i="68" s="1"/>
  <c r="E48" i="59"/>
  <c r="F48" i="59"/>
  <c r="E47" i="59"/>
  <c r="F47" i="59" s="1"/>
  <c r="E46" i="59"/>
  <c r="F46" i="59" s="1"/>
  <c r="E45" i="59"/>
  <c r="F45" i="59" s="1"/>
  <c r="E44" i="59"/>
  <c r="F44" i="59" s="1"/>
  <c r="E43" i="59"/>
  <c r="F43" i="59" s="1"/>
  <c r="E42" i="59"/>
  <c r="F42" i="59" s="1"/>
  <c r="E41" i="59"/>
  <c r="F41" i="59"/>
  <c r="E40" i="59"/>
  <c r="F40" i="59" s="1"/>
  <c r="E39" i="59"/>
  <c r="F39" i="59" s="1"/>
  <c r="E38" i="59"/>
  <c r="F38" i="59" s="1"/>
  <c r="E30" i="58"/>
  <c r="F30" i="58"/>
  <c r="E32" i="58"/>
  <c r="F32" i="58" s="1"/>
  <c r="D33" i="58"/>
  <c r="C38" i="68" s="1"/>
  <c r="C33" i="58"/>
  <c r="B38" i="68" s="1"/>
  <c r="E26" i="58"/>
  <c r="F26" i="58" s="1"/>
  <c r="E31" i="58"/>
  <c r="F31" i="58"/>
  <c r="E29" i="58"/>
  <c r="F29" i="58" s="1"/>
  <c r="E28" i="58"/>
  <c r="F28" i="58" s="1"/>
  <c r="E27" i="58"/>
  <c r="F27" i="58" s="1"/>
  <c r="E25" i="58"/>
  <c r="F25" i="58"/>
  <c r="E24" i="58"/>
  <c r="F24" i="58"/>
  <c r="E23" i="58"/>
  <c r="F23" i="58"/>
  <c r="E22" i="58"/>
  <c r="F22" i="58" s="1"/>
  <c r="E21" i="58"/>
  <c r="F21" i="58"/>
  <c r="D43" i="55"/>
  <c r="C36" i="68" s="1"/>
  <c r="C43" i="55"/>
  <c r="B36" i="68" s="1"/>
  <c r="E42" i="55"/>
  <c r="F42" i="55"/>
  <c r="E41" i="55"/>
  <c r="F41" i="55" s="1"/>
  <c r="E40" i="55"/>
  <c r="F40" i="55" s="1"/>
  <c r="E39" i="55"/>
  <c r="F39" i="55" s="1"/>
  <c r="E38" i="55"/>
  <c r="F38" i="55" s="1"/>
  <c r="E37" i="55"/>
  <c r="F37" i="55" s="1"/>
  <c r="E36" i="55"/>
  <c r="F36" i="55" s="1"/>
  <c r="E35" i="55"/>
  <c r="F35" i="55" s="1"/>
  <c r="E34" i="55"/>
  <c r="F34" i="55" s="1"/>
  <c r="E33" i="55"/>
  <c r="F33" i="55" s="1"/>
  <c r="E42" i="56"/>
  <c r="F42" i="56" s="1"/>
  <c r="E41" i="56"/>
  <c r="F41" i="56" s="1"/>
  <c r="E38" i="56"/>
  <c r="F38" i="56" s="1"/>
  <c r="E35" i="56"/>
  <c r="F35" i="56" s="1"/>
  <c r="E40" i="56"/>
  <c r="F40" i="56" s="1"/>
  <c r="E39" i="56"/>
  <c r="F39" i="56" s="1"/>
  <c r="E37" i="56"/>
  <c r="F37" i="56" s="1"/>
  <c r="E36" i="56"/>
  <c r="F36" i="56" s="1"/>
  <c r="E34" i="56"/>
  <c r="F34" i="56" s="1"/>
  <c r="D43" i="56"/>
  <c r="C37" i="68" s="1"/>
  <c r="E33" i="56"/>
  <c r="C43" i="56"/>
  <c r="B37" i="68" s="1"/>
  <c r="C58" i="56"/>
  <c r="C53" i="68" s="1"/>
  <c r="B58" i="56"/>
  <c r="B53" i="68" s="1"/>
  <c r="D57" i="56"/>
  <c r="E57" i="56" s="1"/>
  <c r="D56" i="56"/>
  <c r="E56" i="56" s="1"/>
  <c r="D55" i="56"/>
  <c r="E55" i="56" s="1"/>
  <c r="D54" i="56"/>
  <c r="E54" i="56" s="1"/>
  <c r="D53" i="56"/>
  <c r="E53" i="56" s="1"/>
  <c r="D52" i="56"/>
  <c r="E52" i="56"/>
  <c r="D51" i="56"/>
  <c r="E51" i="56" s="1"/>
  <c r="D50" i="56"/>
  <c r="E50" i="56" s="1"/>
  <c r="D49" i="56"/>
  <c r="E49" i="56"/>
  <c r="D48" i="56"/>
  <c r="E48" i="56" s="1"/>
  <c r="C58" i="55"/>
  <c r="C52" i="68" s="1"/>
  <c r="B58" i="55"/>
  <c r="B52" i="68" s="1"/>
  <c r="D57" i="55"/>
  <c r="E57" i="55" s="1"/>
  <c r="D56" i="55"/>
  <c r="E56" i="55" s="1"/>
  <c r="D55" i="55"/>
  <c r="E55" i="55" s="1"/>
  <c r="D54" i="55"/>
  <c r="E54" i="55" s="1"/>
  <c r="D53" i="55"/>
  <c r="E53" i="55" s="1"/>
  <c r="D52" i="55"/>
  <c r="E52" i="55" s="1"/>
  <c r="D51" i="55"/>
  <c r="E51" i="55" s="1"/>
  <c r="D50" i="55"/>
  <c r="E50" i="55" s="1"/>
  <c r="D49" i="55"/>
  <c r="E49" i="55" s="1"/>
  <c r="D48" i="55"/>
  <c r="E48" i="55" s="1"/>
  <c r="D47" i="55"/>
  <c r="E47" i="55"/>
  <c r="G6" i="22"/>
  <c r="F6" i="22"/>
  <c r="G5" i="22"/>
  <c r="F5" i="22"/>
  <c r="G4" i="22"/>
  <c r="F4" i="22"/>
  <c r="G3" i="22"/>
  <c r="F3" i="22"/>
  <c r="G6" i="23"/>
  <c r="F6" i="23"/>
  <c r="G5" i="23"/>
  <c r="F5" i="23"/>
  <c r="G4" i="23"/>
  <c r="F4" i="23"/>
  <c r="G3" i="23"/>
  <c r="F3" i="23"/>
  <c r="G6" i="24"/>
  <c r="F6" i="24"/>
  <c r="G5" i="24"/>
  <c r="F5" i="24"/>
  <c r="G4" i="24"/>
  <c r="F4" i="24"/>
  <c r="G3" i="24"/>
  <c r="F3" i="24"/>
  <c r="G6" i="25"/>
  <c r="F6" i="25"/>
  <c r="G5" i="25"/>
  <c r="F5" i="25"/>
  <c r="G4" i="25"/>
  <c r="F4" i="25"/>
  <c r="G3" i="25"/>
  <c r="F3" i="25"/>
  <c r="G6" i="26"/>
  <c r="F6" i="26"/>
  <c r="G5" i="26"/>
  <c r="F5" i="26"/>
  <c r="G4" i="26"/>
  <c r="F4" i="26"/>
  <c r="G3" i="26"/>
  <c r="F3" i="26"/>
  <c r="G6" i="27"/>
  <c r="F6" i="27"/>
  <c r="G5" i="27"/>
  <c r="F5" i="27"/>
  <c r="G4" i="27"/>
  <c r="F4" i="27"/>
  <c r="G3" i="27"/>
  <c r="F3" i="27"/>
  <c r="G6" i="28"/>
  <c r="F6" i="28"/>
  <c r="G5" i="28"/>
  <c r="F5" i="28"/>
  <c r="G4" i="28"/>
  <c r="F4" i="28"/>
  <c r="G3" i="28"/>
  <c r="F3" i="28"/>
  <c r="F6" i="29"/>
  <c r="F5" i="29"/>
  <c r="F4" i="29"/>
  <c r="F3" i="29"/>
  <c r="G6" i="21"/>
  <c r="F6" i="21"/>
  <c r="G5" i="21"/>
  <c r="F5" i="21"/>
  <c r="G4" i="21"/>
  <c r="F4" i="21"/>
  <c r="G3" i="21"/>
  <c r="F3" i="21"/>
  <c r="F4" i="13"/>
  <c r="F5" i="13"/>
  <c r="F6" i="13"/>
  <c r="F3" i="13"/>
  <c r="C5" i="29"/>
  <c r="G6" i="29" s="1"/>
  <c r="C4" i="29"/>
  <c r="C3" i="29"/>
  <c r="G4" i="13"/>
  <c r="G5" i="13"/>
  <c r="G6" i="13"/>
  <c r="G3" i="13"/>
  <c r="D80" i="65" l="1"/>
  <c r="E80" i="65" s="1"/>
  <c r="C80" i="65"/>
  <c r="C60" i="68" s="1"/>
  <c r="D60" i="68" s="1"/>
  <c r="E60" i="68" s="1"/>
  <c r="C30" i="63"/>
  <c r="C58" i="68" s="1"/>
  <c r="C66" i="59"/>
  <c r="C55" i="68" s="1"/>
  <c r="D63" i="59"/>
  <c r="E63" i="59" s="1"/>
  <c r="E43" i="56"/>
  <c r="F43" i="56" s="1"/>
  <c r="D59" i="68"/>
  <c r="E59" i="68" s="1"/>
  <c r="D62" i="68"/>
  <c r="E62" i="68" s="1"/>
  <c r="D42" i="68"/>
  <c r="E42" i="68" s="1"/>
  <c r="D57" i="68"/>
  <c r="E57" i="68" s="1"/>
  <c r="C39" i="68"/>
  <c r="D39" i="68" s="1"/>
  <c r="E39" i="68" s="1"/>
  <c r="E49" i="59"/>
  <c r="F49" i="59" s="1"/>
  <c r="D64" i="65"/>
  <c r="E64" i="65" s="1"/>
  <c r="D55" i="67"/>
  <c r="E55" i="67" s="1"/>
  <c r="D66" i="59"/>
  <c r="E66" i="59" s="1"/>
  <c r="D44" i="64"/>
  <c r="C43" i="68" s="1"/>
  <c r="D58" i="56"/>
  <c r="E58" i="56" s="1"/>
  <c r="D58" i="68"/>
  <c r="E58" i="68" s="1"/>
  <c r="E37" i="66"/>
  <c r="F37" i="66" s="1"/>
  <c r="C38" i="66"/>
  <c r="D53" i="68"/>
  <c r="E53" i="68" s="1"/>
  <c r="E37" i="59"/>
  <c r="F37" i="59" s="1"/>
  <c r="D56" i="67"/>
  <c r="E56" i="67" s="1"/>
  <c r="G4" i="29"/>
  <c r="D58" i="55"/>
  <c r="E58" i="55" s="1"/>
  <c r="E33" i="58"/>
  <c r="F33" i="58" s="1"/>
  <c r="D62" i="62"/>
  <c r="E62" i="62" s="1"/>
  <c r="G5" i="29"/>
  <c r="E43" i="55"/>
  <c r="F43" i="55" s="1"/>
  <c r="E16" i="60"/>
  <c r="D62" i="64"/>
  <c r="E62" i="64" s="1"/>
  <c r="E69" i="65"/>
  <c r="D44" i="68"/>
  <c r="E44" i="68" s="1"/>
  <c r="D41" i="68"/>
  <c r="E41" i="68" s="1"/>
  <c r="D38" i="68"/>
  <c r="E38" i="68" s="1"/>
  <c r="B61" i="68"/>
  <c r="B63" i="68" s="1"/>
  <c r="B45" i="68"/>
  <c r="B47" i="68" s="1"/>
  <c r="E38" i="66"/>
  <c r="F38" i="66" s="1"/>
  <c r="D46" i="68"/>
  <c r="E46" i="68" s="1"/>
  <c r="D52" i="68"/>
  <c r="E52" i="68" s="1"/>
  <c r="D36" i="68"/>
  <c r="E36" i="68" s="1"/>
  <c r="G3" i="29"/>
  <c r="E46" i="62"/>
  <c r="F46" i="62" s="1"/>
  <c r="E53" i="65"/>
  <c r="E47" i="67"/>
  <c r="F33" i="56"/>
  <c r="C61" i="68"/>
  <c r="C45" i="68"/>
  <c r="E48" i="65"/>
  <c r="F48" i="65" s="1"/>
  <c r="D55" i="68"/>
  <c r="E55" i="68" s="1"/>
  <c r="E37" i="64"/>
  <c r="F37" i="64" s="1"/>
  <c r="D37" i="68"/>
  <c r="E37" i="68" s="1"/>
  <c r="D40" i="68"/>
  <c r="E22" i="63"/>
  <c r="F22" i="63" s="1"/>
  <c r="E28" i="63"/>
  <c r="D30" i="63"/>
  <c r="E30" i="63" s="1"/>
  <c r="C63" i="68" l="1"/>
  <c r="D63" i="68" s="1"/>
  <c r="E63" i="68" s="1"/>
  <c r="C47" i="68"/>
  <c r="D47" i="68" s="1"/>
  <c r="E47" i="68" s="1"/>
  <c r="D43" i="68"/>
  <c r="E43" i="68" s="1"/>
  <c r="E44" i="64"/>
  <c r="F44" i="64" s="1"/>
  <c r="D45" i="68"/>
  <c r="E45" i="68" s="1"/>
  <c r="D61" i="68"/>
  <c r="E61" i="6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Stendorf Sørensen</author>
  </authors>
  <commentList>
    <comment ref="B3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C3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B4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C4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B5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C5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B6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  <comment ref="C6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Simon Stendorf Sørensen:</t>
        </r>
        <r>
          <rPr>
            <sz val="9"/>
            <color indexed="81"/>
            <rFont val="Tahoma"/>
            <family val="2"/>
          </rPr>
          <t xml:space="preserve">
Nedskrevet med faktor 1000</t>
        </r>
      </text>
    </comment>
  </commentList>
</comments>
</file>

<file path=xl/sharedStrings.xml><?xml version="1.0" encoding="utf-8"?>
<sst xmlns="http://schemas.openxmlformats.org/spreadsheetml/2006/main" count="1291" uniqueCount="236">
  <si>
    <t>Bramming</t>
  </si>
  <si>
    <t>Ribe</t>
  </si>
  <si>
    <t>Oksbøl</t>
  </si>
  <si>
    <t>Outrup</t>
  </si>
  <si>
    <t>Nørre Nebel</t>
  </si>
  <si>
    <t>Ølgod</t>
  </si>
  <si>
    <t>BBR</t>
  </si>
  <si>
    <t>Enhed</t>
  </si>
  <si>
    <t>Privat</t>
  </si>
  <si>
    <t>MWh</t>
  </si>
  <si>
    <t>Offentlig</t>
  </si>
  <si>
    <t>Handel og service</t>
  </si>
  <si>
    <t>Industri</t>
  </si>
  <si>
    <t>Alle blå felter kan udfyldes</t>
  </si>
  <si>
    <t>Varde Varme</t>
  </si>
  <si>
    <t>Skovlund</t>
  </si>
  <si>
    <t>Esbjerg Varme</t>
  </si>
  <si>
    <t>Sig</t>
  </si>
  <si>
    <t>Morsø</t>
  </si>
  <si>
    <t>Thisted</t>
  </si>
  <si>
    <t>Brønderslev</t>
  </si>
  <si>
    <t>Frederikshavn</t>
  </si>
  <si>
    <t>Thorshøj</t>
  </si>
  <si>
    <t>Vesthimmerlands</t>
  </si>
  <si>
    <t>Læsø</t>
  </si>
  <si>
    <t>Rebild</t>
  </si>
  <si>
    <t>Mariagerfjord</t>
  </si>
  <si>
    <t>Jammerbugt</t>
  </si>
  <si>
    <t>Aalborg</t>
  </si>
  <si>
    <t>Hals Fjernvarme</t>
  </si>
  <si>
    <t>Hjørring</t>
  </si>
  <si>
    <t>Værknavn</t>
  </si>
  <si>
    <t>Produktion (MWh)</t>
  </si>
  <si>
    <t>Varmesalg (MWh)</t>
  </si>
  <si>
    <t>Nettab (MWh)</t>
  </si>
  <si>
    <t>Nettab (%)</t>
  </si>
  <si>
    <t>Agersted</t>
  </si>
  <si>
    <t>Asaa</t>
  </si>
  <si>
    <t>Dronninglund</t>
  </si>
  <si>
    <t>Flauenskjold</t>
  </si>
  <si>
    <t>Hallund</t>
  </si>
  <si>
    <t>Hjallerup</t>
  </si>
  <si>
    <t>Jerslev</t>
  </si>
  <si>
    <t>Klokkerholm</t>
  </si>
  <si>
    <t>Manna-Thiese</t>
  </si>
  <si>
    <t>Øster Brønderslev</t>
  </si>
  <si>
    <t>I alt</t>
  </si>
  <si>
    <t>Skagen</t>
  </si>
  <si>
    <t>Strandby</t>
  </si>
  <si>
    <t>Østervrå</t>
  </si>
  <si>
    <t>Dybvad</t>
  </si>
  <si>
    <t>Sæby</t>
  </si>
  <si>
    <t>Voerså</t>
  </si>
  <si>
    <t>Præstbro</t>
  </si>
  <si>
    <t>Hørby</t>
  </si>
  <si>
    <t>Datakilde</t>
  </si>
  <si>
    <t>Benchmark 15/16</t>
  </si>
  <si>
    <t>Benchmark 14/15</t>
  </si>
  <si>
    <t>Energiregnskab 2010</t>
  </si>
  <si>
    <t>Benchmark 13/14</t>
  </si>
  <si>
    <t>Oplyst i Varmeplan, tal for 2007/2008</t>
  </si>
  <si>
    <t>Oplyst nettab</t>
  </si>
  <si>
    <t>19-21%</t>
  </si>
  <si>
    <t>Hirtshals</t>
  </si>
  <si>
    <t>Sindal</t>
  </si>
  <si>
    <t>Vrå</t>
  </si>
  <si>
    <t>Taars</t>
  </si>
  <si>
    <t>Løkken</t>
  </si>
  <si>
    <t>Bindslev</t>
  </si>
  <si>
    <t>Lønstrup</t>
  </si>
  <si>
    <t>Tversted</t>
  </si>
  <si>
    <t>Lendum</t>
  </si>
  <si>
    <t>Lørslev</t>
  </si>
  <si>
    <t>Løkkenvejens</t>
  </si>
  <si>
    <t>Aabybro</t>
  </si>
  <si>
    <t>Brovst</t>
  </si>
  <si>
    <t>Fjerritslev</t>
  </si>
  <si>
    <t>Gjøl</t>
  </si>
  <si>
    <t>Halvrimmen-Arentsminde</t>
  </si>
  <si>
    <t>Ingstrup</t>
  </si>
  <si>
    <t>Jetsmark</t>
  </si>
  <si>
    <t>Saltum</t>
  </si>
  <si>
    <t>Skovsgaard</t>
  </si>
  <si>
    <t>Tranum</t>
  </si>
  <si>
    <t>Vester Hjermitslev</t>
  </si>
  <si>
    <t>Øland</t>
  </si>
  <si>
    <t>*</t>
  </si>
  <si>
    <t>Beregnet varmesalg udfra samlet varmebehov abværk og gennemsnitlig oplyst nettab på 28 %.</t>
  </si>
  <si>
    <t>Beregnet varmesalg udfra antagelse om nettab på 26,7 % (vægtet gennemsnit for rest)</t>
  </si>
  <si>
    <t>Byrum</t>
  </si>
  <si>
    <t>Als</t>
  </si>
  <si>
    <t>Arden</t>
  </si>
  <si>
    <t>Assens</t>
  </si>
  <si>
    <t>Astrup</t>
  </si>
  <si>
    <t>Hadsund</t>
  </si>
  <si>
    <t>Hobro</t>
  </si>
  <si>
    <t>Mariager</t>
  </si>
  <si>
    <t>Oue</t>
  </si>
  <si>
    <t>Rostrup</t>
  </si>
  <si>
    <t>Veddum-Skelund-Visborg</t>
  </si>
  <si>
    <t>Øster Hurup</t>
  </si>
  <si>
    <t>Oplyst i Varmeplan for 2011</t>
  </si>
  <si>
    <t>Nykøbing Mors</t>
  </si>
  <si>
    <t>Beregnet varmesalg ud fra samlet varmeproduktion abværk og gennemsnitlig oplyst nettab.</t>
  </si>
  <si>
    <t>Sdr. Herred</t>
  </si>
  <si>
    <t>På baggrund af Dansk Fjernvarme benchmarking statistik 2014/2015</t>
  </si>
  <si>
    <t>Ab værk (MWh)</t>
  </si>
  <si>
    <t>An forbruger (MWh)</t>
  </si>
  <si>
    <t>Nettab %</t>
  </si>
  <si>
    <t>Bælum</t>
  </si>
  <si>
    <t>Nørager*</t>
  </si>
  <si>
    <t>Støvring</t>
  </si>
  <si>
    <t>Øster Hornum</t>
  </si>
  <si>
    <t>Terndrup*</t>
  </si>
  <si>
    <t>Blenstrup*</t>
  </si>
  <si>
    <t>Ravnkilde*</t>
  </si>
  <si>
    <t>Rebild*</t>
  </si>
  <si>
    <t>Skørping</t>
  </si>
  <si>
    <t>Haverslev**</t>
  </si>
  <si>
    <t>Suldrup**</t>
  </si>
  <si>
    <t>*Fremgår ikke af Dansk Fjernvames statistik</t>
  </si>
  <si>
    <t>** Indgår sandsynligvis i Dansk Fjernvarmes statistik som del af I/S Aars Varme (26% nettab)</t>
  </si>
  <si>
    <t>*** Indgår sandsynligvis i Dansk Fjernvarmes statistik som del af Skørping Fjernvarme amba.</t>
  </si>
  <si>
    <t>Blenstrup</t>
  </si>
  <si>
    <t>Ravnkilde</t>
  </si>
  <si>
    <t>Terndrup</t>
  </si>
  <si>
    <t>Haverslev/Suldrup*</t>
  </si>
  <si>
    <t>Nørager**</t>
  </si>
  <si>
    <t>* Den andel af Aars Fjernvarme, der distribueres i Rebild Kommune; 15,9% i 2014/15</t>
  </si>
  <si>
    <t>Oplyst 2013-14</t>
  </si>
  <si>
    <t>Bedsted</t>
  </si>
  <si>
    <t>Frøstrup</t>
  </si>
  <si>
    <t>Hanstholm</t>
  </si>
  <si>
    <t>Hurup</t>
  </si>
  <si>
    <t>Klitmøller</t>
  </si>
  <si>
    <t>Snedsted</t>
  </si>
  <si>
    <t>Vesløs</t>
  </si>
  <si>
    <t>Vestervig</t>
  </si>
  <si>
    <t>Vorupør</t>
  </si>
  <si>
    <t>Østerild</t>
  </si>
  <si>
    <t>Farsø</t>
  </si>
  <si>
    <t>Gedsted</t>
  </si>
  <si>
    <t>Hvalpsund</t>
  </si>
  <si>
    <t>Løgstør</t>
  </si>
  <si>
    <t>Vegger</t>
  </si>
  <si>
    <t>Aalestrup*</t>
  </si>
  <si>
    <t>Aars**</t>
  </si>
  <si>
    <t>** Den andel af Aars Fjernvarme, der distribueres i Vesthimmerlands Kommune; 84,1% i 2014/15</t>
  </si>
  <si>
    <t>Ellidshøj-Ferslev Kraftvarmeværk</t>
  </si>
  <si>
    <t>Gandrup Vester-Hassing Varmeforsyning</t>
  </si>
  <si>
    <t>Kongerslev Fjernvarmeværk</t>
  </si>
  <si>
    <t>Nibe Varmeværk</t>
  </si>
  <si>
    <t>Sønderholm Kraftvarmeværk</t>
  </si>
  <si>
    <t>Ulsted</t>
  </si>
  <si>
    <t>Aalborg Forsyning, Varme</t>
  </si>
  <si>
    <t>Nettab mindre værker</t>
  </si>
  <si>
    <t>Aalborg Forsyning, Varme*</t>
  </si>
  <si>
    <t>*Varmesalg beregnet på baggrund af oplyst varmetab (19,80%)</t>
  </si>
  <si>
    <t>Region Nordjylland</t>
  </si>
  <si>
    <t>Energiregnskab 2014</t>
  </si>
  <si>
    <t>Baseret på Benchmark 2014/15</t>
  </si>
  <si>
    <t>Kommune</t>
  </si>
  <si>
    <t>773 - Morsø</t>
  </si>
  <si>
    <t>810 - Brønderslev</t>
  </si>
  <si>
    <t>813 - Frederikshavn</t>
  </si>
  <si>
    <t>860 - Hjørring</t>
  </si>
  <si>
    <t>849 - Jammerbugt</t>
  </si>
  <si>
    <t>825 - Læsø</t>
  </si>
  <si>
    <t>846 - Mariagerfjord</t>
  </si>
  <si>
    <t>840 - Rebild</t>
  </si>
  <si>
    <t>787 - Thisted</t>
  </si>
  <si>
    <t>820 - Vesthimmerlands</t>
  </si>
  <si>
    <t>851 - Aalborg</t>
  </si>
  <si>
    <t>Årsregnskab 15/16</t>
  </si>
  <si>
    <t>EPT2016 // Værkets regnskab 15/16</t>
  </si>
  <si>
    <t>Årsstatistik 2018</t>
  </si>
  <si>
    <t>Årstatistik 2018</t>
  </si>
  <si>
    <t>Årsstatistik 2017</t>
  </si>
  <si>
    <t>Årsstatistik 2019</t>
  </si>
  <si>
    <t>2017/18 meddelt af værket</t>
  </si>
  <si>
    <t>Årstatistik 2019</t>
  </si>
  <si>
    <t>Ingen data.</t>
  </si>
  <si>
    <t>Årstatistik 2017</t>
  </si>
  <si>
    <t>Klitmøller*</t>
  </si>
  <si>
    <t>* Pr. medio 2018 del af Thisted (øget tab fra ledning)</t>
  </si>
  <si>
    <t>Nettab oplyst (%)</t>
  </si>
  <si>
    <t>17/18 oplyst af værk</t>
  </si>
  <si>
    <t>Oplyst af værket 2018</t>
  </si>
  <si>
    <t>Oplyst af værk 2018*</t>
  </si>
  <si>
    <t>Inkl. eget forbrug 250 MWh</t>
  </si>
  <si>
    <t>Oplyst af værk 17/18</t>
  </si>
  <si>
    <t>Årsrapport 2018</t>
  </si>
  <si>
    <t>* Den andel af Aars Fjernvarme, der distribueres i Rebild Kommune; 17 % i 2018</t>
  </si>
  <si>
    <t>** Den andel af samlet Aalestrup-Nørager Energi, der distribueres i Rebild Kommune 21,4 %</t>
  </si>
  <si>
    <t>* Den andel af samlet Aalestrup-Nørager Energi, der forbruges i Vesthimmerlands Kommune 78,6 %</t>
  </si>
  <si>
    <t>** Den andel af Aars Fjernvarme, der distribueres i Vesthimmerlands Kommune; 83,0 % i 2018</t>
  </si>
  <si>
    <t>Årsstatistik 2020</t>
  </si>
  <si>
    <t xml:space="preserve"> </t>
  </si>
  <si>
    <t>Årstatistik 2020</t>
  </si>
  <si>
    <t>Årsrapport 2020</t>
  </si>
  <si>
    <t>*Klitmøller varmeværk er fusioneret med Thisted Varmeforyning</t>
  </si>
  <si>
    <t>*Varmesalg beregnet på baggrund af oplyst varmetab (15,55%)</t>
  </si>
  <si>
    <t>Årsstatistik 2020 (beregnet)</t>
  </si>
  <si>
    <t>Beregnet</t>
  </si>
  <si>
    <t>*Varmesalg beregnet på baggrund af oplyst varmetab (17,79%)</t>
  </si>
  <si>
    <t>Allokering af slutforbrug</t>
  </si>
  <si>
    <t>%</t>
  </si>
  <si>
    <t>Boliger og fritidshuse</t>
  </si>
  <si>
    <t>Offentlig service</t>
  </si>
  <si>
    <t>Privat service</t>
  </si>
  <si>
    <t>Detail- og engroshandel</t>
  </si>
  <si>
    <t>Fremstillingsvirksomhed</t>
  </si>
  <si>
    <t>Gartneri</t>
  </si>
  <si>
    <r>
      <t xml:space="preserve">Kilde: Energistyrelsen 2021, </t>
    </r>
    <r>
      <rPr>
        <i/>
        <sz val="11"/>
        <color theme="1"/>
        <rFont val="Calibri"/>
        <family val="2"/>
        <scheme val="minor"/>
      </rPr>
      <t>Energistatistik 2020</t>
    </r>
  </si>
  <si>
    <t>Hvor ingen bedre data (fx fra de lokale fjernvarmeværker) haves, anvendes ovenstående nationale gennemsnit for at allokere slutforbruget på omsætningsenheder.</t>
  </si>
  <si>
    <r>
      <t xml:space="preserve">Kilde: Energistyrelsen 2019, </t>
    </r>
    <r>
      <rPr>
        <i/>
        <sz val="11"/>
        <color theme="1"/>
        <rFont val="Calibri"/>
        <family val="2"/>
        <scheme val="minor"/>
      </rPr>
      <t>Energistatistik 2018</t>
    </r>
  </si>
  <si>
    <t>Bilag 6 - Nettab fjernvarme</t>
  </si>
  <si>
    <t>Rækkenavne</t>
  </si>
  <si>
    <t>Hovedtotal</t>
  </si>
  <si>
    <t>Kommuneandel%</t>
  </si>
  <si>
    <t>Vesthimmerland</t>
  </si>
  <si>
    <t>Kilde: Årsregnskab og oplyst af værket.</t>
  </si>
  <si>
    <t>Fordeling af varmeforbrug i det tværkommunale net Suldrup-Aars (Rebild-Vesthimmerland)</t>
  </si>
  <si>
    <t>Viborg</t>
  </si>
  <si>
    <t>Fordeling af varmeforbrug i det tværkommunale net Aalestrup-Nørager-Hvam (Vesthimmerland-Rebild-Viborg)</t>
  </si>
  <si>
    <t>An forbruger</t>
  </si>
  <si>
    <t>Ab værk</t>
  </si>
  <si>
    <t>Lukket primo 2020</t>
  </si>
  <si>
    <t xml:space="preserve"> Fjernvarmeværk  lukket - Overgået til individuel opvarmning</t>
  </si>
  <si>
    <t>** Den andel af samlet Aalestrup-Nørager Energi, der distribueres i Rebild Kommune 26,3 %</t>
  </si>
  <si>
    <t>** Den andel af samlet Aalestrup-Nørager Energi, der distribueres i Rebild Kommune 21,6 %</t>
  </si>
  <si>
    <t>* Den andel af Aars Fjernvarme, der distribueres i Rebild Kommune; 15 % 2020</t>
  </si>
  <si>
    <t>** Den andel af Aars Fjernvarme, der distribueres i Vesthimmerlands Kommune; 85 % i 2020</t>
  </si>
  <si>
    <t>* Den andel af samlet Aalestrup-Nørager Energi, der forbruges i Vesthimmerlands Kommune 58,1 %</t>
  </si>
  <si>
    <t>* Den andel af samlet Aalestrup-Nørager Energi, der forbruges i Vesthimmerlands Kommune 78,1%</t>
  </si>
  <si>
    <t>Oplyst af værket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</si>
</sst>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._-;\-* #,##0.00\ _k_r_._-;_-* &quot;-&quot;??\ _k_r_._-;_-@_-"/>
    <numFmt numFmtId="165" formatCode="_ * #,##0.00_ ;_ * \-#,##0.00_ ;_ * &quot;-&quot;??_ ;_ @_ "/>
    <numFmt numFmtId="166" formatCode="0.0%"/>
    <numFmt numFmtId="167" formatCode="_ * #,##0_ ;_ * \-#,##0_ ;_ * &quot;-&quot;??_ ;_ @_ "/>
    <numFmt numFmtId="168" formatCode="_(* #,##0.00_);_(* \(#,##0.00\);_(* &quot;-&quot;??_);_(@_)"/>
    <numFmt numFmtId="169" formatCode="d\-mmm\-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2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i/>
      <sz val="9"/>
      <name val="Arial"/>
      <family val="2"/>
    </font>
    <font>
      <sz val="12"/>
      <name val="Arial MT"/>
    </font>
    <font>
      <sz val="12"/>
      <name val="Times New Roman"/>
      <family val="1"/>
    </font>
    <font>
      <sz val="13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i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Border="1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7" fontId="0" fillId="4" borderId="1" xfId="3" applyNumberFormat="1" applyFon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167" fontId="0" fillId="4" borderId="12" xfId="3" applyNumberFormat="1" applyFont="1" applyFill="1" applyBorder="1" applyProtection="1">
      <protection locked="0"/>
    </xf>
    <xf numFmtId="0" fontId="0" fillId="0" borderId="13" xfId="0" applyBorder="1"/>
    <xf numFmtId="167" fontId="0" fillId="4" borderId="0" xfId="3" applyNumberFormat="1" applyFont="1" applyFill="1" applyBorder="1" applyProtection="1"/>
    <xf numFmtId="0" fontId="0" fillId="4" borderId="0" xfId="0" applyFill="1" applyBorder="1" applyProtection="1"/>
    <xf numFmtId="164" fontId="0" fillId="0" borderId="0" xfId="0" applyNumberFormat="1"/>
    <xf numFmtId="9" fontId="0" fillId="0" borderId="0" xfId="1" applyFont="1"/>
    <xf numFmtId="0" fontId="3" fillId="3" borderId="0" xfId="0" applyFont="1" applyFill="1"/>
    <xf numFmtId="0" fontId="4" fillId="3" borderId="0" xfId="0" applyFont="1" applyFill="1"/>
    <xf numFmtId="0" fontId="0" fillId="5" borderId="0" xfId="0" applyFill="1"/>
    <xf numFmtId="0" fontId="0" fillId="0" borderId="0" xfId="0"/>
    <xf numFmtId="3" fontId="0" fillId="0" borderId="0" xfId="0" applyNumberFormat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2" borderId="21" xfId="0" applyFill="1" applyBorder="1"/>
    <xf numFmtId="3" fontId="0" fillId="2" borderId="4" xfId="0" applyNumberFormat="1" applyFill="1" applyBorder="1"/>
    <xf numFmtId="3" fontId="0" fillId="2" borderId="15" xfId="0" applyNumberFormat="1" applyFill="1" applyBorder="1"/>
    <xf numFmtId="9" fontId="0" fillId="2" borderId="22" xfId="0" applyNumberFormat="1" applyFill="1" applyBorder="1"/>
    <xf numFmtId="0" fontId="0" fillId="2" borderId="23" xfId="0" applyFill="1" applyBorder="1"/>
    <xf numFmtId="3" fontId="0" fillId="2" borderId="5" xfId="0" applyNumberFormat="1" applyFill="1" applyBorder="1"/>
    <xf numFmtId="3" fontId="0" fillId="2" borderId="1" xfId="0" applyNumberFormat="1" applyFill="1" applyBorder="1"/>
    <xf numFmtId="9" fontId="0" fillId="2" borderId="10" xfId="0" applyNumberFormat="1" applyFill="1" applyBorder="1"/>
    <xf numFmtId="0" fontId="0" fillId="2" borderId="24" xfId="0" applyFill="1" applyBorder="1"/>
    <xf numFmtId="3" fontId="0" fillId="2" borderId="3" xfId="0" applyNumberFormat="1" applyFill="1" applyBorder="1"/>
    <xf numFmtId="3" fontId="0" fillId="2" borderId="2" xfId="0" applyNumberFormat="1" applyFill="1" applyBorder="1"/>
    <xf numFmtId="9" fontId="0" fillId="2" borderId="25" xfId="0" applyNumberFormat="1" applyFill="1" applyBorder="1"/>
    <xf numFmtId="0" fontId="1" fillId="2" borderId="26" xfId="0" applyFont="1" applyFill="1" applyBorder="1"/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0" fontId="0" fillId="7" borderId="17" xfId="0" applyFont="1" applyFill="1" applyBorder="1"/>
    <xf numFmtId="0" fontId="0" fillId="7" borderId="18" xfId="0" applyFont="1" applyFill="1" applyBorder="1"/>
    <xf numFmtId="0" fontId="0" fillId="7" borderId="19" xfId="0" applyFont="1" applyFill="1" applyBorder="1"/>
    <xf numFmtId="0" fontId="0" fillId="7" borderId="20" xfId="0" applyFont="1" applyFill="1" applyBorder="1"/>
    <xf numFmtId="3" fontId="1" fillId="2" borderId="27" xfId="0" applyNumberFormat="1" applyFont="1" applyFill="1" applyBorder="1"/>
    <xf numFmtId="0" fontId="0" fillId="2" borderId="29" xfId="0" applyFill="1" applyBorder="1"/>
    <xf numFmtId="3" fontId="1" fillId="2" borderId="28" xfId="0" applyNumberFormat="1" applyFont="1" applyFill="1" applyBorder="1"/>
    <xf numFmtId="0" fontId="1" fillId="2" borderId="17" xfId="0" applyFont="1" applyFill="1" applyBorder="1"/>
    <xf numFmtId="3" fontId="0" fillId="2" borderId="2" xfId="0" applyNumberFormat="1" applyFill="1" applyBorder="1" applyAlignment="1">
      <alignment wrapText="1"/>
    </xf>
    <xf numFmtId="9" fontId="0" fillId="2" borderId="22" xfId="0" quotePrefix="1" applyNumberFormat="1" applyFill="1" applyBorder="1" applyAlignment="1">
      <alignment horizontal="right"/>
    </xf>
    <xf numFmtId="3" fontId="1" fillId="2" borderId="30" xfId="0" applyNumberFormat="1" applyFont="1" applyFill="1" applyBorder="1"/>
    <xf numFmtId="3" fontId="1" fillId="2" borderId="31" xfId="0" applyNumberFormat="1" applyFont="1" applyFill="1" applyBorder="1"/>
    <xf numFmtId="3" fontId="0" fillId="2" borderId="33" xfId="0" applyNumberFormat="1" applyFill="1" applyBorder="1"/>
    <xf numFmtId="3" fontId="0" fillId="2" borderId="12" xfId="0" applyNumberFormat="1" applyFill="1" applyBorder="1"/>
    <xf numFmtId="9" fontId="0" fillId="2" borderId="13" xfId="0" applyNumberFormat="1" applyFill="1" applyBorder="1"/>
    <xf numFmtId="3" fontId="0" fillId="2" borderId="33" xfId="0" applyNumberFormat="1" applyFill="1" applyBorder="1" applyAlignment="1">
      <alignment wrapText="1"/>
    </xf>
    <xf numFmtId="3" fontId="0" fillId="5" borderId="1" xfId="0" applyNumberFormat="1" applyFill="1" applyBorder="1"/>
    <xf numFmtId="167" fontId="0" fillId="2" borderId="4" xfId="0" applyNumberFormat="1" applyFill="1" applyBorder="1"/>
    <xf numFmtId="167" fontId="0" fillId="2" borderId="15" xfId="0" applyNumberFormat="1" applyFill="1" applyBorder="1"/>
    <xf numFmtId="167" fontId="0" fillId="2" borderId="5" xfId="0" applyNumberFormat="1" applyFill="1" applyBorder="1"/>
    <xf numFmtId="167" fontId="0" fillId="2" borderId="1" xfId="0" applyNumberFormat="1" applyFill="1" applyBorder="1"/>
    <xf numFmtId="0" fontId="8" fillId="8" borderId="19" xfId="0" applyFont="1" applyFill="1" applyBorder="1"/>
    <xf numFmtId="167" fontId="0" fillId="2" borderId="0" xfId="0" applyNumberFormat="1" applyFill="1"/>
    <xf numFmtId="0" fontId="0" fillId="0" borderId="0" xfId="0" applyBorder="1" applyAlignment="1">
      <alignment wrapText="1"/>
    </xf>
    <xf numFmtId="3" fontId="0" fillId="2" borderId="5" xfId="0" applyNumberFormat="1" applyFill="1" applyBorder="1" applyAlignment="1">
      <alignment wrapText="1"/>
    </xf>
    <xf numFmtId="0" fontId="0" fillId="2" borderId="17" xfId="0" applyFill="1" applyBorder="1"/>
    <xf numFmtId="167" fontId="0" fillId="2" borderId="18" xfId="0" applyNumberFormat="1" applyFill="1" applyBorder="1"/>
    <xf numFmtId="167" fontId="0" fillId="2" borderId="19" xfId="0" applyNumberFormat="1" applyFill="1" applyBorder="1"/>
    <xf numFmtId="9" fontId="0" fillId="2" borderId="20" xfId="0" applyNumberFormat="1" applyFill="1" applyBorder="1"/>
    <xf numFmtId="167" fontId="8" fillId="9" borderId="16" xfId="5" applyNumberFormat="1" applyFont="1" applyFill="1" applyBorder="1"/>
    <xf numFmtId="167" fontId="0" fillId="0" borderId="0" xfId="0" applyNumberFormat="1"/>
    <xf numFmtId="0" fontId="0" fillId="7" borderId="37" xfId="0" applyFill="1" applyBorder="1"/>
    <xf numFmtId="9" fontId="0" fillId="2" borderId="38" xfId="0" quotePrefix="1" applyNumberFormat="1" applyFill="1" applyBorder="1" applyAlignment="1">
      <alignment horizontal="right"/>
    </xf>
    <xf numFmtId="9" fontId="0" fillId="2" borderId="39" xfId="0" applyNumberFormat="1" applyFill="1" applyBorder="1"/>
    <xf numFmtId="9" fontId="0" fillId="2" borderId="40" xfId="0" applyNumberFormat="1" applyFill="1" applyBorder="1"/>
    <xf numFmtId="3" fontId="0" fillId="2" borderId="22" xfId="0" applyNumberFormat="1" applyFill="1" applyBorder="1"/>
    <xf numFmtId="3" fontId="0" fillId="2" borderId="10" xfId="0" applyNumberFormat="1" applyFill="1" applyBorder="1"/>
    <xf numFmtId="3" fontId="0" fillId="2" borderId="13" xfId="0" applyNumberFormat="1" applyFill="1" applyBorder="1"/>
    <xf numFmtId="9" fontId="0" fillId="2" borderId="10" xfId="1" applyFont="1" applyFill="1" applyBorder="1"/>
    <xf numFmtId="9" fontId="0" fillId="2" borderId="12" xfId="1" applyFont="1" applyFill="1" applyBorder="1"/>
    <xf numFmtId="0" fontId="0" fillId="2" borderId="34" xfId="0" applyFill="1" applyBorder="1"/>
    <xf numFmtId="10" fontId="0" fillId="0" borderId="0" xfId="1" applyNumberFormat="1" applyFont="1"/>
    <xf numFmtId="0" fontId="0" fillId="2" borderId="41" xfId="0" applyFill="1" applyBorder="1"/>
    <xf numFmtId="0" fontId="0" fillId="0" borderId="42" xfId="0" applyBorder="1" applyAlignment="1">
      <alignment wrapText="1"/>
    </xf>
    <xf numFmtId="3" fontId="0" fillId="2" borderId="7" xfId="0" applyNumberFormat="1" applyFill="1" applyBorder="1"/>
    <xf numFmtId="167" fontId="0" fillId="2" borderId="7" xfId="0" applyNumberFormat="1" applyFill="1" applyBorder="1"/>
    <xf numFmtId="9" fontId="0" fillId="2" borderId="8" xfId="0" quotePrefix="1" applyNumberFormat="1" applyFill="1" applyBorder="1" applyAlignment="1">
      <alignment horizontal="right"/>
    </xf>
    <xf numFmtId="167" fontId="0" fillId="2" borderId="12" xfId="0" applyNumberFormat="1" applyFill="1" applyBorder="1"/>
    <xf numFmtId="9" fontId="0" fillId="2" borderId="13" xfId="1" applyFont="1" applyFill="1" applyBorder="1"/>
    <xf numFmtId="9" fontId="0" fillId="2" borderId="43" xfId="1" applyFont="1" applyFill="1" applyBorder="1"/>
    <xf numFmtId="167" fontId="0" fillId="2" borderId="2" xfId="0" applyNumberFormat="1" applyFill="1" applyBorder="1"/>
    <xf numFmtId="0" fontId="10" fillId="3" borderId="0" xfId="0" applyFont="1" applyFill="1"/>
    <xf numFmtId="3" fontId="0" fillId="2" borderId="16" xfId="0" applyNumberFormat="1" applyFill="1" applyBorder="1"/>
    <xf numFmtId="166" fontId="1" fillId="6" borderId="20" xfId="0" applyNumberFormat="1" applyFont="1" applyFill="1" applyBorder="1"/>
    <xf numFmtId="166" fontId="1" fillId="6" borderId="32" xfId="0" applyNumberFormat="1" applyFont="1" applyFill="1" applyBorder="1"/>
    <xf numFmtId="9" fontId="1" fillId="6" borderId="20" xfId="0" applyNumberFormat="1" applyFont="1" applyFill="1" applyBorder="1"/>
    <xf numFmtId="167" fontId="0" fillId="10" borderId="15" xfId="5" applyNumberFormat="1" applyFont="1" applyFill="1" applyBorder="1"/>
    <xf numFmtId="0" fontId="0" fillId="10" borderId="0" xfId="0" applyFill="1"/>
    <xf numFmtId="9" fontId="1" fillId="6" borderId="32" xfId="0" applyNumberFormat="1" applyFont="1" applyFill="1" applyBorder="1"/>
    <xf numFmtId="3" fontId="0" fillId="10" borderId="1" xfId="0" applyNumberFormat="1" applyFill="1" applyBorder="1"/>
    <xf numFmtId="166" fontId="0" fillId="0" borderId="0" xfId="0" applyNumberFormat="1"/>
    <xf numFmtId="3" fontId="0" fillId="2" borderId="44" xfId="0" applyNumberFormat="1" applyFill="1" applyBorder="1"/>
    <xf numFmtId="0" fontId="0" fillId="0" borderId="0" xfId="0"/>
    <xf numFmtId="3" fontId="2" fillId="0" borderId="0" xfId="0" applyNumberFormat="1" applyFont="1"/>
    <xf numFmtId="0" fontId="0" fillId="0" borderId="0" xfId="0"/>
    <xf numFmtId="0" fontId="0" fillId="0" borderId="0" xfId="0"/>
    <xf numFmtId="9" fontId="9" fillId="11" borderId="20" xfId="0" applyNumberFormat="1" applyFont="1" applyFill="1" applyBorder="1"/>
    <xf numFmtId="0" fontId="0" fillId="2" borderId="0" xfId="0" applyFill="1" applyBorder="1"/>
    <xf numFmtId="3" fontId="0" fillId="0" borderId="0" xfId="0" applyNumberFormat="1"/>
    <xf numFmtId="0" fontId="1" fillId="0" borderId="0" xfId="0" applyFont="1" applyFill="1" applyBorder="1"/>
    <xf numFmtId="3" fontId="1" fillId="0" borderId="0" xfId="0" applyNumberFormat="1" applyFont="1" applyFill="1" applyBorder="1"/>
    <xf numFmtId="9" fontId="1" fillId="0" borderId="0" xfId="0" applyNumberFormat="1" applyFont="1" applyFill="1" applyBorder="1"/>
    <xf numFmtId="0" fontId="0" fillId="0" borderId="0" xfId="0" applyFill="1"/>
    <xf numFmtId="0" fontId="0" fillId="0" borderId="23" xfId="0" applyFill="1" applyBorder="1"/>
    <xf numFmtId="3" fontId="0" fillId="0" borderId="1" xfId="0" applyNumberFormat="1" applyFill="1" applyBorder="1"/>
    <xf numFmtId="9" fontId="0" fillId="0" borderId="10" xfId="0" applyNumberFormat="1" applyFill="1" applyBorder="1"/>
    <xf numFmtId="3" fontId="0" fillId="2" borderId="0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37" xfId="0" applyFill="1" applyBorder="1"/>
    <xf numFmtId="0" fontId="0" fillId="2" borderId="0" xfId="0" applyFill="1" applyBorder="1" applyAlignment="1">
      <alignment wrapText="1"/>
    </xf>
    <xf numFmtId="0" fontId="0" fillId="2" borderId="45" xfId="0" applyFill="1" applyBorder="1"/>
    <xf numFmtId="0" fontId="0" fillId="2" borderId="46" xfId="0" applyFill="1" applyBorder="1"/>
    <xf numFmtId="166" fontId="0" fillId="2" borderId="8" xfId="1" applyNumberFormat="1" applyFont="1" applyFill="1" applyBorder="1"/>
    <xf numFmtId="0" fontId="0" fillId="2" borderId="9" xfId="0" applyFill="1" applyBorder="1"/>
    <xf numFmtId="166" fontId="0" fillId="2" borderId="10" xfId="1" applyNumberFormat="1" applyFont="1" applyFill="1" applyBorder="1"/>
    <xf numFmtId="0" fontId="0" fillId="2" borderId="47" xfId="0" applyFill="1" applyBorder="1"/>
    <xf numFmtId="166" fontId="0" fillId="2" borderId="13" xfId="1" applyNumberFormat="1" applyFont="1" applyFill="1" applyBorder="1"/>
    <xf numFmtId="166" fontId="0" fillId="2" borderId="32" xfId="0" applyNumberFormat="1" applyFill="1" applyBorder="1"/>
    <xf numFmtId="0" fontId="0" fillId="2" borderId="27" xfId="0" applyFill="1" applyBorder="1"/>
    <xf numFmtId="0" fontId="0" fillId="2" borderId="48" xfId="0" applyFill="1" applyBorder="1"/>
    <xf numFmtId="166" fontId="0" fillId="2" borderId="25" xfId="0" applyNumberFormat="1" applyFill="1" applyBorder="1"/>
    <xf numFmtId="166" fontId="0" fillId="2" borderId="10" xfId="0" applyNumberFormat="1" applyFill="1" applyBorder="1"/>
    <xf numFmtId="0" fontId="0" fillId="2" borderId="35" xfId="0" applyFill="1" applyBorder="1"/>
    <xf numFmtId="166" fontId="0" fillId="2" borderId="22" xfId="0" applyNumberFormat="1" applyFill="1" applyBorder="1"/>
    <xf numFmtId="166" fontId="0" fillId="2" borderId="20" xfId="0" applyNumberFormat="1" applyFill="1" applyBorder="1"/>
    <xf numFmtId="0" fontId="13" fillId="12" borderId="0" xfId="4" applyFont="1" applyFill="1"/>
    <xf numFmtId="0" fontId="14" fillId="12" borderId="0" xfId="4" applyFont="1" applyFill="1"/>
    <xf numFmtId="0" fontId="15" fillId="12" borderId="0" xfId="4" applyFont="1" applyFill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7" fillId="0" borderId="0" xfId="4"/>
    <xf numFmtId="0" fontId="21" fillId="0" borderId="0" xfId="4" applyFont="1"/>
    <xf numFmtId="0" fontId="7" fillId="0" borderId="1" xfId="4" applyBorder="1"/>
    <xf numFmtId="0" fontId="20" fillId="0" borderId="1" xfId="4" applyFont="1" applyBorder="1"/>
    <xf numFmtId="14" fontId="7" fillId="0" borderId="0" xfId="4" applyNumberFormat="1"/>
    <xf numFmtId="167" fontId="7" fillId="0" borderId="1" xfId="4" applyNumberFormat="1" applyBorder="1"/>
    <xf numFmtId="0" fontId="20" fillId="0" borderId="19" xfId="4" applyFont="1" applyBorder="1"/>
    <xf numFmtId="167" fontId="7" fillId="0" borderId="19" xfId="4" applyNumberFormat="1" applyBorder="1"/>
    <xf numFmtId="166" fontId="7" fillId="13" borderId="1" xfId="10" applyNumberFormat="1" applyFont="1" applyFill="1" applyBorder="1" applyAlignment="1"/>
    <xf numFmtId="9" fontId="20" fillId="0" borderId="1" xfId="10" applyFont="1" applyFill="1" applyBorder="1" applyAlignment="1"/>
    <xf numFmtId="3" fontId="7" fillId="0" borderId="0" xfId="4" applyNumberFormat="1"/>
    <xf numFmtId="169" fontId="22" fillId="0" borderId="0" xfId="4" applyNumberFormat="1" applyFont="1" applyAlignment="1">
      <alignment horizontal="right"/>
    </xf>
    <xf numFmtId="0" fontId="8" fillId="0" borderId="0" xfId="0" applyFont="1" applyFill="1" applyBorder="1"/>
    <xf numFmtId="167" fontId="8" fillId="0" borderId="0" xfId="0" applyNumberFormat="1" applyFont="1" applyFill="1" applyBorder="1"/>
    <xf numFmtId="0" fontId="8" fillId="0" borderId="17" xfId="0" applyFont="1" applyFill="1" applyBorder="1"/>
    <xf numFmtId="0" fontId="8" fillId="0" borderId="27" xfId="0" applyFont="1" applyFill="1" applyBorder="1"/>
    <xf numFmtId="0" fontId="8" fillId="0" borderId="19" xfId="0" applyFont="1" applyFill="1" applyBorder="1"/>
    <xf numFmtId="0" fontId="8" fillId="0" borderId="20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21" xfId="0" applyFont="1" applyFill="1" applyBorder="1"/>
    <xf numFmtId="167" fontId="8" fillId="0" borderId="35" xfId="5" applyNumberFormat="1" applyFont="1" applyFill="1" applyBorder="1"/>
    <xf numFmtId="167" fontId="8" fillId="0" borderId="15" xfId="5" applyNumberFormat="1" applyFont="1" applyFill="1" applyBorder="1"/>
    <xf numFmtId="9" fontId="8" fillId="0" borderId="10" xfId="0" applyNumberFormat="1" applyFont="1" applyFill="1" applyBorder="1"/>
    <xf numFmtId="9" fontId="8" fillId="0" borderId="5" xfId="1" applyFont="1" applyFill="1" applyBorder="1" applyAlignment="1">
      <alignment horizontal="right"/>
    </xf>
    <xf numFmtId="0" fontId="8" fillId="0" borderId="34" xfId="0" applyFont="1" applyFill="1" applyBorder="1"/>
    <xf numFmtId="167" fontId="8" fillId="0" borderId="14" xfId="5" applyNumberFormat="1" applyFont="1" applyFill="1" applyBorder="1"/>
    <xf numFmtId="167" fontId="8" fillId="0" borderId="16" xfId="5" applyNumberFormat="1" applyFont="1" applyFill="1" applyBorder="1"/>
    <xf numFmtId="9" fontId="8" fillId="0" borderId="36" xfId="0" applyNumberFormat="1" applyFont="1" applyFill="1" applyBorder="1"/>
    <xf numFmtId="9" fontId="8" fillId="0" borderId="4" xfId="1" applyFont="1" applyFill="1" applyBorder="1" applyAlignment="1">
      <alignment horizontal="right"/>
    </xf>
    <xf numFmtId="9" fontId="8" fillId="0" borderId="0" xfId="1" applyNumberFormat="1" applyFont="1" applyFill="1" applyBorder="1"/>
    <xf numFmtId="0" fontId="8" fillId="0" borderId="23" xfId="0" applyFont="1" applyFill="1" applyBorder="1"/>
    <xf numFmtId="167" fontId="8" fillId="0" borderId="9" xfId="5" applyNumberFormat="1" applyFont="1" applyFill="1" applyBorder="1"/>
    <xf numFmtId="167" fontId="8" fillId="0" borderId="1" xfId="5" applyNumberFormat="1" applyFont="1" applyFill="1" applyBorder="1"/>
    <xf numFmtId="9" fontId="8" fillId="0" borderId="5" xfId="1" applyFont="1" applyFill="1" applyBorder="1"/>
    <xf numFmtId="0" fontId="9" fillId="0" borderId="17" xfId="0" applyFont="1" applyFill="1" applyBorder="1"/>
    <xf numFmtId="3" fontId="9" fillId="0" borderId="27" xfId="0" applyNumberFormat="1" applyFont="1" applyFill="1" applyBorder="1"/>
    <xf numFmtId="3" fontId="9" fillId="0" borderId="19" xfId="0" applyNumberFormat="1" applyFont="1" applyFill="1" applyBorder="1"/>
    <xf numFmtId="0" fontId="0" fillId="14" borderId="23" xfId="0" applyFill="1" applyBorder="1"/>
    <xf numFmtId="3" fontId="0" fillId="14" borderId="1" xfId="0" applyNumberFormat="1" applyFill="1" applyBorder="1"/>
    <xf numFmtId="0" fontId="11" fillId="2" borderId="23" xfId="0" applyFont="1" applyFill="1" applyBorder="1"/>
    <xf numFmtId="3" fontId="11" fillId="2" borderId="5" xfId="0" applyNumberFormat="1" applyFont="1" applyFill="1" applyBorder="1" applyAlignment="1">
      <alignment wrapText="1"/>
    </xf>
    <xf numFmtId="3" fontId="11" fillId="2" borderId="1" xfId="0" applyNumberFormat="1" applyFont="1" applyFill="1" applyBorder="1"/>
    <xf numFmtId="167" fontId="11" fillId="2" borderId="1" xfId="0" applyNumberFormat="1" applyFont="1" applyFill="1" applyBorder="1"/>
    <xf numFmtId="9" fontId="11" fillId="2" borderId="10" xfId="0" applyNumberFormat="1" applyFont="1" applyFill="1" applyBorder="1"/>
    <xf numFmtId="3" fontId="0" fillId="14" borderId="49" xfId="0" applyNumberFormat="1" applyFill="1" applyBorder="1" applyAlignment="1">
      <alignment horizontal="center"/>
    </xf>
    <xf numFmtId="3" fontId="0" fillId="14" borderId="50" xfId="0" applyNumberFormat="1" applyFill="1" applyBorder="1" applyAlignment="1">
      <alignment horizontal="center"/>
    </xf>
    <xf numFmtId="3" fontId="0" fillId="14" borderId="39" xfId="0" applyNumberFormat="1" applyFill="1" applyBorder="1" applyAlignment="1">
      <alignment horizontal="center"/>
    </xf>
  </cellXfs>
  <cellStyles count="11">
    <cellStyle name="Komma" xfId="5" builtinId="3"/>
    <cellStyle name="Komma 2" xfId="2" xr:uid="{00000000-0005-0000-0000-000000000000}"/>
    <cellStyle name="Komma 2 2" xfId="7" xr:uid="{CE224D2A-6562-4C1F-A7B9-004A3CAEB2A7}"/>
    <cellStyle name="Komma 3" xfId="3" xr:uid="{00000000-0005-0000-0000-000001000000}"/>
    <cellStyle name="Komma 4" xfId="6" xr:uid="{36034861-40D8-499E-9DDE-EDBF96191929}"/>
    <cellStyle name="Komma 5" xfId="9" xr:uid="{FBA39F27-9E2E-4DCC-B3D5-A29D42875E44}"/>
    <cellStyle name="Normal" xfId="0" builtinId="0"/>
    <cellStyle name="Normal 2" xfId="8" xr:uid="{7DFA823D-B1AA-49D0-9488-C2F8C0496A59}"/>
    <cellStyle name="Normal 2 2" xfId="4" xr:uid="{00000000-0005-0000-0000-000003000000}"/>
    <cellStyle name="Procent" xfId="1" builtinId="5"/>
    <cellStyle name="Procent 2" xfId="10" xr:uid="{8C143AF0-496B-468E-80F5-C1614532B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Ølgod'!$B$2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Ølgod'!$A$3:$A$6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Ølgod'!$B$3:$B$6</c:f>
              <c:numCache>
                <c:formatCode>_ * #,##0_ ;_ * \-#,##0_ ;_ * "-"??_ ;_ @_ </c:formatCode>
                <c:ptCount val="4"/>
                <c:pt idx="0">
                  <c:v>30368</c:v>
                </c:pt>
                <c:pt idx="1">
                  <c:v>2447</c:v>
                </c:pt>
                <c:pt idx="2">
                  <c:v>2236</c:v>
                </c:pt>
                <c:pt idx="3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9-46F3-A858-0D00F3FE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Bramming'!$C$2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Bramming'!$A$3:$A$6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Bramming'!$C$3:$C$6</c:f>
              <c:numCache>
                <c:formatCode>_ * #,##0_ ;_ * \-#,##0_ ;_ * "-"??_ ;_ @_ </c:formatCode>
                <c:ptCount val="4"/>
                <c:pt idx="0">
                  <c:v>43648.752999999997</c:v>
                </c:pt>
                <c:pt idx="1">
                  <c:v>4822.2039999999997</c:v>
                </c:pt>
                <c:pt idx="2">
                  <c:v>3785.1889999999999</c:v>
                </c:pt>
                <c:pt idx="3">
                  <c:v>455.29300000000001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9-4D46-B248-070E5FF85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Outrup'!$B$2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Outrup'!$A$3:$A$6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Outrup'!$B$3:$B$6</c:f>
              <c:numCache>
                <c:formatCode>_ * #,##0_ ;_ * \-#,##0_ ;_ * "-"??_ ;_ @_ </c:formatCode>
                <c:ptCount val="4"/>
                <c:pt idx="0">
                  <c:v>6970</c:v>
                </c:pt>
                <c:pt idx="1">
                  <c:v>737</c:v>
                </c:pt>
                <c:pt idx="2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7-4D4B-B248-054BCE53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Outrup'!$C$2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Outrup'!$A$3:$A$6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Outrup'!$C$3:$C$6</c:f>
              <c:numCache>
                <c:formatCode>_ * #,##0_ ;_ * \-#,##0_ ;_ * "-"??_ ;_ @_ </c:formatCode>
                <c:ptCount val="4"/>
                <c:pt idx="0">
                  <c:v>6516</c:v>
                </c:pt>
                <c:pt idx="1">
                  <c:v>689</c:v>
                </c:pt>
                <c:pt idx="2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B-460C-89B6-25A88011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Ribe'!$B$2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Ribe'!$A$3:$A$6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Ribe'!$B$3:$B$6</c:f>
              <c:numCache>
                <c:formatCode>_ * #,##0_ ;_ * \-#,##0_ ;_ * "-"??_ ;_ @_ </c:formatCode>
                <c:ptCount val="4"/>
                <c:pt idx="0">
                  <c:v>35799</c:v>
                </c:pt>
                <c:pt idx="1">
                  <c:v>9051</c:v>
                </c:pt>
                <c:pt idx="2">
                  <c:v>11216</c:v>
                </c:pt>
                <c:pt idx="3">
                  <c:v>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4-41B8-B676-ADE248E1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Ribe'!$C$2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Ribe'!$A$3:$A$6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Ribe'!$C$3:$C$6</c:f>
              <c:numCache>
                <c:formatCode>_ * #,##0_ ;_ * \-#,##0_ ;_ * "-"??_ ;_ @_ </c:formatCode>
                <c:ptCount val="4"/>
                <c:pt idx="0">
                  <c:v>38309</c:v>
                </c:pt>
                <c:pt idx="1">
                  <c:v>8876</c:v>
                </c:pt>
                <c:pt idx="2">
                  <c:v>11000</c:v>
                </c:pt>
                <c:pt idx="3">
                  <c:v>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3-4D91-9176-D59ECABC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Esbjerg Varme'!$B$2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Esbjerg Varme'!$A$3:$A$6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Esbjerg Varme'!$B$3:$B$6</c:f>
              <c:numCache>
                <c:formatCode>_ * #,##0_ ;_ * \-#,##0_ ;_ * "-"??_ ;_ @_ </c:formatCode>
                <c:ptCount val="4"/>
                <c:pt idx="0">
                  <c:v>564951.48851649568</c:v>
                </c:pt>
                <c:pt idx="1">
                  <c:v>69480.641138661405</c:v>
                </c:pt>
                <c:pt idx="2">
                  <c:v>104357.17335831515</c:v>
                </c:pt>
                <c:pt idx="3">
                  <c:v>105797.36365319438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8-4A44-AD59-71629A0C3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Esbjerg Varme'!$C$2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Esbjerg Varme'!$A$3:$A$6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Esbjerg Varme'!$C$3:$C$6</c:f>
              <c:numCache>
                <c:formatCode>_ * #,##0_ ;_ * \-#,##0_ ;_ * "-"??_ ;_ @_ </c:formatCode>
                <c:ptCount val="4"/>
                <c:pt idx="0">
                  <c:v>540275.0697475773</c:v>
                </c:pt>
                <c:pt idx="1">
                  <c:v>66445.808180573746</c:v>
                </c:pt>
                <c:pt idx="2">
                  <c:v>99798.97435596805</c:v>
                </c:pt>
                <c:pt idx="3">
                  <c:v>101176.25882699204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9-4B70-A74A-56E86358A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Oksbøl'!$B$2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Oksbøl'!$A$3:$A$6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Oksbøl'!$B$3:$B$6</c:f>
              <c:numCache>
                <c:formatCode>_ * #,##0_ ;_ * \-#,##0_ ;_ * "-"??_ ;_ @_ </c:formatCode>
                <c:ptCount val="4"/>
                <c:pt idx="0">
                  <c:v>18815</c:v>
                </c:pt>
                <c:pt idx="1">
                  <c:v>2470</c:v>
                </c:pt>
                <c:pt idx="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A-496E-B568-4C86C297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Oksbøl'!$C$2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Oksbøl'!$A$3:$A$6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Oksbøl'!$C$3:$C$6</c:f>
              <c:numCache>
                <c:formatCode>_ * #,##0_ ;_ * \-#,##0_ ;_ * "-"??_ ;_ @_ </c:formatCode>
                <c:ptCount val="4"/>
                <c:pt idx="0">
                  <c:v>19184</c:v>
                </c:pt>
                <c:pt idx="1">
                  <c:v>2722</c:v>
                </c:pt>
                <c:pt idx="2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6-4996-BA98-179F89A6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Sig'!$B$2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Sig'!$A$3:$A$6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Sig'!$B$3:$B$6</c:f>
              <c:numCache>
                <c:formatCode>_ * #,##0_ ;_ * \-#,##0_ ;_ * "-"??_ ;_ @_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834-4436-9954-802388CE4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Ølgod'!$C$2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Ølgod'!$A$3:$A$6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Ølgod'!$C$3:$C$6</c:f>
              <c:numCache>
                <c:formatCode>_ * #,##0_ ;_ * \-#,##0_ ;_ * "-"??_ ;_ @_ </c:formatCode>
                <c:ptCount val="4"/>
                <c:pt idx="0">
                  <c:v>27812</c:v>
                </c:pt>
                <c:pt idx="1">
                  <c:v>2075</c:v>
                </c:pt>
                <c:pt idx="2">
                  <c:v>1979</c:v>
                </c:pt>
                <c:pt idx="3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41B-8458-B0FDC70D6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Sig'!$C$2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Sig'!$A$3:$A$6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Sig'!$C$3:$C$6</c:f>
              <c:numCache>
                <c:formatCode>_ * #,##0_ ;_ * \-#,##0_ ;_ * "-"??_ ;_ @_ </c:formatCode>
                <c:ptCount val="4"/>
                <c:pt idx="0">
                  <c:v>4064</c:v>
                </c:pt>
                <c:pt idx="1">
                  <c:v>762</c:v>
                </c:pt>
                <c:pt idx="2">
                  <c:v>254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D-49C8-BEFE-264FFE71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Ansager'!$B$2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Ansager'!$A$3:$A$6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Ansager'!$B$3:$B$6</c:f>
              <c:numCache>
                <c:formatCode>_ * #,##0_ ;_ * \-#,##0_ ;_ * "-"??_ ;_ @_ 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1-472D-A6C1-904FCB84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Ansager'!$C$2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Ansager'!$A$3:$A$6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Ansager'!$C$3:$C$6</c:f>
              <c:numCache>
                <c:formatCode>_ * #,##0_ ;_ * \-#,##0_ ;_ * "-"??_ ;_ @_ 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1-490A-9A41-EA3DD7F7F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Varde Varme'!$B$2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Varde Varme'!$A$3:$A$6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Varde Varme'!$B$3:$B$6</c:f>
              <c:numCache>
                <c:formatCode>_ * #,##0_ ;_ * \-#,##0_ ;_ * "-"??_ ;_ @_ </c:formatCode>
                <c:ptCount val="4"/>
                <c:pt idx="0">
                  <c:v>101792.8018842434</c:v>
                </c:pt>
                <c:pt idx="1">
                  <c:v>13418.206100770602</c:v>
                </c:pt>
                <c:pt idx="2">
                  <c:v>11366.399762828487</c:v>
                </c:pt>
                <c:pt idx="3">
                  <c:v>11615.592252157505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E-4CF4-8FAB-6095843F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Varde Varme'!$C$2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Varde Varme'!$A$3:$A$6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Varde Varme'!$C$3:$C$6</c:f>
              <c:numCache>
                <c:formatCode>_ * #,##0_ ;_ * \-#,##0_ ;_ * "-"??_ ;_ @_ </c:formatCode>
                <c:ptCount val="4"/>
                <c:pt idx="0">
                  <c:v>99699.388014112352</c:v>
                </c:pt>
                <c:pt idx="1">
                  <c:v>13142.254773725166</c:v>
                </c:pt>
                <c:pt idx="2">
                  <c:v>11132.644738145917</c:v>
                </c:pt>
                <c:pt idx="3">
                  <c:v>11376.71247401656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3-437A-BF40-B98565683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Nørre Nebel'!$B$2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Nørre Nebel'!$A$3:$A$6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Nørre Nebel'!$B$3:$B$6</c:f>
              <c:numCache>
                <c:formatCode>_ * #,##0_ ;_ * \-#,##0_ ;_ * "-"??_ ;_ @_ </c:formatCode>
                <c:ptCount val="4"/>
                <c:pt idx="0">
                  <c:v>9477.9</c:v>
                </c:pt>
                <c:pt idx="1">
                  <c:v>1798.1</c:v>
                </c:pt>
                <c:pt idx="2">
                  <c:v>1535.4</c:v>
                </c:pt>
                <c:pt idx="3">
                  <c:v>3207.2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C-4EF0-BF31-1FB712B5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Nørre Nebel'!$C$2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Nørre Nebel'!$A$3:$A$6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Nørre Nebel'!$C$3:$C$6</c:f>
              <c:numCache>
                <c:formatCode>_ * #,##0_ ;_ * \-#,##0_ ;_ * "-"??_ ;_ @_ </c:formatCode>
                <c:ptCount val="4"/>
                <c:pt idx="0">
                  <c:v>8415.1</c:v>
                </c:pt>
                <c:pt idx="1">
                  <c:v>1472.9</c:v>
                </c:pt>
                <c:pt idx="2">
                  <c:v>1204.4000000000001</c:v>
                </c:pt>
                <c:pt idx="3">
                  <c:v>4983.7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E-48F3-906B-CB6A1AF5A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Skovlund'!$B$2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Skovlund'!$A$3:$A$6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Skovlund'!$B$3:$B$6</c:f>
              <c:numCache>
                <c:formatCode>_ * #,##0_ ;_ * \-#,##0_ ;_ * "-"??_ ;_ @_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4D9-4048-A908-63593D42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Skovlund'!$C$2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'BBR fordeling - Skovlund'!$A$3:$A$6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Skovlund'!$C$3:$C$6</c:f>
              <c:numCache>
                <c:formatCode>_ * #,##0_ ;_ * \-#,##0_ ;_ * "-"??_ ;_ @_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541-4F0C-9F1F-746E5BD5C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'BBR fordeling - Bramming'!$B$2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'BBR fordeling - Bramming'!$A$3:$A$6</c:f>
              <c:strCache>
                <c:ptCount val="4"/>
                <c:pt idx="0">
                  <c:v>Privat</c:v>
                </c:pt>
                <c:pt idx="1">
                  <c:v>Offentlig</c:v>
                </c:pt>
                <c:pt idx="2">
                  <c:v>Handel og service</c:v>
                </c:pt>
                <c:pt idx="3">
                  <c:v>Industri</c:v>
                </c:pt>
              </c:strCache>
            </c:strRef>
          </c:cat>
          <c:val>
            <c:numRef>
              <c:f>'BBR fordeling - Bramming'!$B$3:$B$6</c:f>
              <c:numCache>
                <c:formatCode>_ * #,##0_ ;_ * \-#,##0_ ;_ * "-"??_ ;_ @_ </c:formatCode>
                <c:ptCount val="4"/>
                <c:pt idx="0">
                  <c:v>42408.934000000001</c:v>
                </c:pt>
                <c:pt idx="1">
                  <c:v>4858.2240000000002</c:v>
                </c:pt>
                <c:pt idx="2">
                  <c:v>3659.27</c:v>
                </c:pt>
                <c:pt idx="3">
                  <c:v>999.99900000000002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3-463D-8773-AF4178C32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F8388A-3F07-44FC-850B-27FCE35A0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947711-EB40-428C-B9E9-6B1FD592C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1F45EC-E3B5-43F2-BAD9-C938B2C4F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4BAC478-F5DE-48D4-80AD-6BC53C995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2B661B-E712-4F58-B4E4-3FF61AA92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B669F54-33BD-4A86-AC70-8FFB53666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F484B87-869C-44FE-80E9-5FB5E02F3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EEF5898-FF34-40BA-A54C-4C9862C6B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84E919-7123-40E2-94F3-E3CBB336F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00227F-BE46-4197-A6D2-30959793A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6D2D36-B4C4-460A-A45C-01FED6AEF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84D88FC-82DD-48C5-8D0F-11C1D7EFF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6158CD-423A-4C3A-9409-193F3DA3D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B6B9D98-F3CC-4112-8B93-06EFF18F4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C4C992-8614-485D-B7DC-59A619055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7BBE47-E6A0-44D9-840D-A984BE695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D6527F-6277-4A04-9B2E-120F508E1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D52D184-F4B1-4714-B6DC-C23BF25D9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BEF832-2EA0-4C13-88AC-277DD040A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097E760-7C65-426B-8AB3-58A19356D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238125</xdr:colOff>
      <xdr:row>23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028F68-37B7-43FF-AD9A-A6D7FCD54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14</xdr:col>
      <xdr:colOff>304800</xdr:colOff>
      <xdr:row>23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0984660-3EDC-4C32-ACEB-E7469435D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3B71-F223-4AF2-8D57-8DB72F819953}">
  <dimension ref="A1:BB64"/>
  <sheetViews>
    <sheetView workbookViewId="0">
      <selection activeCell="I17" sqref="I17"/>
    </sheetView>
  </sheetViews>
  <sheetFormatPr defaultColWidth="9.140625" defaultRowHeight="15"/>
  <cols>
    <col min="1" max="1" width="22.85546875" style="21" customWidth="1"/>
    <col min="2" max="2" width="17.7109375" style="21" customWidth="1"/>
    <col min="3" max="3" width="17" style="21" bestFit="1" customWidth="1"/>
    <col min="4" max="4" width="13.85546875" style="21" bestFit="1" customWidth="1"/>
    <col min="5" max="5" width="10.570312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s="107" customFormat="1">
      <c r="G2" s="114"/>
      <c r="H2" s="114"/>
      <c r="I2" s="114"/>
    </row>
    <row r="3" spans="1:54" s="107" customFormat="1" ht="15.75" thickBot="1">
      <c r="A3" s="107" t="s">
        <v>158</v>
      </c>
      <c r="B3" s="107">
        <v>2020</v>
      </c>
      <c r="G3" s="114" t="s">
        <v>205</v>
      </c>
      <c r="H3" s="114"/>
      <c r="I3" s="114"/>
    </row>
    <row r="4" spans="1:54" s="107" customFormat="1" ht="15.75" thickBot="1">
      <c r="A4" s="23" t="s">
        <v>161</v>
      </c>
      <c r="B4" s="25" t="s">
        <v>32</v>
      </c>
      <c r="C4" s="25" t="s">
        <v>33</v>
      </c>
      <c r="D4" s="26" t="s">
        <v>34</v>
      </c>
      <c r="E4" s="26" t="s">
        <v>35</v>
      </c>
      <c r="G4" s="124" t="s">
        <v>206</v>
      </c>
      <c r="H4" s="125">
        <v>2020</v>
      </c>
    </row>
    <row r="5" spans="1:54" s="107" customFormat="1">
      <c r="A5" s="31" t="s">
        <v>163</v>
      </c>
      <c r="B5" s="33">
        <f>'Nettab 810 Brønderslev'!C15</f>
        <v>262770</v>
      </c>
      <c r="C5" s="33">
        <f>'Nettab 810 Brønderslev'!D15</f>
        <v>197237</v>
      </c>
      <c r="D5" s="62">
        <f>'Nettab 810 Brønderslev'!E15</f>
        <v>65533</v>
      </c>
      <c r="E5" s="88">
        <f>IFERROR(D5/B5,"")</f>
        <v>0.24939300528979716</v>
      </c>
      <c r="G5" s="124" t="s">
        <v>207</v>
      </c>
      <c r="H5" s="126">
        <v>0.64903588412553204</v>
      </c>
    </row>
    <row r="6" spans="1:54" s="107" customFormat="1">
      <c r="A6" s="31" t="s">
        <v>164</v>
      </c>
      <c r="B6" s="33">
        <f>'Nettab 813 Frederikshavn'!C15</f>
        <v>427994</v>
      </c>
      <c r="C6" s="33">
        <f>'Nettab 813 Frederikshavn'!D15</f>
        <v>336300</v>
      </c>
      <c r="D6" s="62">
        <f>'Nettab 813 Frederikshavn'!E15</f>
        <v>91694</v>
      </c>
      <c r="E6" s="34">
        <f t="shared" ref="E6:E8" si="0">IFERROR(D6/B6,"")</f>
        <v>0.21424132114001598</v>
      </c>
      <c r="G6" s="127" t="s">
        <v>208</v>
      </c>
      <c r="H6" s="128">
        <v>9.8283483895720794E-2</v>
      </c>
    </row>
    <row r="7" spans="1:54" s="107" customFormat="1">
      <c r="A7" s="47" t="s">
        <v>165</v>
      </c>
      <c r="B7" s="37">
        <f>'Nettab 860 Hjørring'!C17</f>
        <v>537272</v>
      </c>
      <c r="C7" s="37">
        <f>'Nettab 860 Hjørring'!D17</f>
        <v>429352</v>
      </c>
      <c r="D7" s="62">
        <f t="shared" ref="D7:D16" si="1">B7-C7</f>
        <v>107920</v>
      </c>
      <c r="E7" s="34">
        <f t="shared" si="0"/>
        <v>0.20086660015783439</v>
      </c>
      <c r="G7" s="127" t="s">
        <v>209</v>
      </c>
      <c r="H7" s="128">
        <v>0.13212759911145699</v>
      </c>
    </row>
    <row r="8" spans="1:54" s="107" customFormat="1">
      <c r="A8" s="47" t="s">
        <v>166</v>
      </c>
      <c r="B8" s="37">
        <f>'Nettab 849 Jammerbugt'!C17</f>
        <v>270616.24</v>
      </c>
      <c r="C8" s="37">
        <f>'Nettab 849 Jammerbugt'!D17</f>
        <v>195962</v>
      </c>
      <c r="D8" s="62">
        <f>B8-C8</f>
        <v>74654.239999999991</v>
      </c>
      <c r="E8" s="34">
        <f t="shared" si="0"/>
        <v>0.27586755325548828</v>
      </c>
      <c r="G8" s="127" t="s">
        <v>210</v>
      </c>
      <c r="H8" s="128">
        <v>6.9622569173955096E-2</v>
      </c>
    </row>
    <row r="9" spans="1:54" s="107" customFormat="1">
      <c r="A9" s="31" t="s">
        <v>167</v>
      </c>
      <c r="B9" s="33">
        <v>0</v>
      </c>
      <c r="C9" s="33">
        <v>0</v>
      </c>
      <c r="D9" s="62">
        <f>B9-C9</f>
        <v>0</v>
      </c>
      <c r="E9" s="34">
        <f>'Nettab 825 Læsø'!F6</f>
        <v>0.25</v>
      </c>
      <c r="G9" s="127" t="s">
        <v>211</v>
      </c>
      <c r="H9" s="128">
        <v>3.5759731072706601E-2</v>
      </c>
    </row>
    <row r="10" spans="1:54" s="107" customFormat="1" ht="15.75" thickBot="1">
      <c r="A10" s="31" t="s">
        <v>168</v>
      </c>
      <c r="B10" s="33">
        <f>'Nettab 846 Mariagerfjord'!C16</f>
        <v>258397.5</v>
      </c>
      <c r="C10" s="33">
        <f>'Nettab 846 Mariagerfjord'!D16</f>
        <v>195862.8</v>
      </c>
      <c r="D10" s="62">
        <f t="shared" si="1"/>
        <v>62534.700000000012</v>
      </c>
      <c r="E10" s="34">
        <f t="shared" ref="E10:E16" si="2">IFERROR(D10/B10,"")</f>
        <v>0.24200969436623812</v>
      </c>
      <c r="G10" s="129" t="s">
        <v>212</v>
      </c>
      <c r="H10" s="130">
        <v>1.51707326206286E-2</v>
      </c>
    </row>
    <row r="11" spans="1:54" s="107" customFormat="1" ht="15.75" thickBot="1">
      <c r="A11" s="31" t="s">
        <v>162</v>
      </c>
      <c r="B11" s="33">
        <f>'Nettab 773 Morsø'!C8</f>
        <v>73081.59</v>
      </c>
      <c r="C11" s="33">
        <f>'Nettab 773 Morsø'!D8</f>
        <v>55343.1</v>
      </c>
      <c r="D11" s="62">
        <f t="shared" si="1"/>
        <v>17738.489999999998</v>
      </c>
      <c r="E11" s="34">
        <f t="shared" si="2"/>
        <v>0.24272173060274138</v>
      </c>
      <c r="G11" s="129" t="s">
        <v>46</v>
      </c>
      <c r="H11" s="131">
        <f>SUM(H5:H10)</f>
        <v>1.0000000000000002</v>
      </c>
    </row>
    <row r="12" spans="1:54" s="107" customFormat="1">
      <c r="A12" s="31" t="s">
        <v>169</v>
      </c>
      <c r="B12" s="33">
        <f>'Nettab 840 Rebild'!C14</f>
        <v>183394.60805029393</v>
      </c>
      <c r="C12" s="33">
        <f>'Nettab 840 Rebild'!D14</f>
        <v>136756.29999999999</v>
      </c>
      <c r="D12" s="62">
        <f t="shared" si="1"/>
        <v>46638.308050293941</v>
      </c>
      <c r="E12" s="34">
        <f t="shared" si="2"/>
        <v>0.25430577565019746</v>
      </c>
      <c r="G12" s="3" t="s">
        <v>213</v>
      </c>
      <c r="H12" s="3"/>
      <c r="I12" s="110"/>
    </row>
    <row r="13" spans="1:54" s="107" customFormat="1">
      <c r="A13" s="31" t="s">
        <v>170</v>
      </c>
      <c r="B13" s="33">
        <f>'Nettab 787 Thisted'!C16</f>
        <v>320657.66666666663</v>
      </c>
      <c r="C13" s="22">
        <f>'Nettab 787 Thisted'!D16</f>
        <v>251476.22222222222</v>
      </c>
      <c r="D13" s="92">
        <f t="shared" si="1"/>
        <v>69181.444444444409</v>
      </c>
      <c r="E13" s="38">
        <f t="shared" si="2"/>
        <v>0.21574860555684333</v>
      </c>
      <c r="G13" s="3" t="s">
        <v>214</v>
      </c>
      <c r="H13" s="3"/>
    </row>
    <row r="14" spans="1:54" s="107" customFormat="1">
      <c r="A14" s="31" t="s">
        <v>171</v>
      </c>
      <c r="B14" s="33">
        <f>'Nettab 820 Vesthimmerland'!C12</f>
        <v>222833.79594970611</v>
      </c>
      <c r="C14" s="33">
        <f>'Nettab 820 Vesthimmerland'!D12</f>
        <v>184288</v>
      </c>
      <c r="D14" s="92">
        <f t="shared" si="1"/>
        <v>38545.795949706109</v>
      </c>
      <c r="E14" s="38">
        <f t="shared" si="2"/>
        <v>0.17298002659527439</v>
      </c>
    </row>
    <row r="15" spans="1:54" s="107" customFormat="1" ht="15.75" thickBot="1">
      <c r="A15" s="47" t="s">
        <v>172</v>
      </c>
      <c r="B15" s="37">
        <f>'Nettab 851 Aalborg'!C14</f>
        <v>2053229.01</v>
      </c>
      <c r="C15" s="37">
        <f>'Nettab 851 Aalborg'!D14</f>
        <v>1718529.1</v>
      </c>
      <c r="D15" s="92">
        <f t="shared" si="1"/>
        <v>334699.90999999992</v>
      </c>
      <c r="E15" s="38">
        <f t="shared" si="2"/>
        <v>0.1630114850169587</v>
      </c>
    </row>
    <row r="16" spans="1:54" s="107" customFormat="1" ht="15.75" thickBot="1">
      <c r="A16" s="49" t="s">
        <v>46</v>
      </c>
      <c r="B16" s="41">
        <f>SUM(B5:B15)</f>
        <v>4610246.4106666669</v>
      </c>
      <c r="C16" s="41">
        <f>SUM(C5:C15)</f>
        <v>3701106.5222222228</v>
      </c>
      <c r="D16" s="41">
        <f t="shared" si="1"/>
        <v>909139.88844444416</v>
      </c>
      <c r="E16" s="95">
        <f t="shared" si="2"/>
        <v>0.19719984735327359</v>
      </c>
    </row>
    <row r="17" spans="1:8" s="107" customFormat="1"/>
    <row r="18" spans="1:8" ht="15.75" thickBot="1">
      <c r="A18" s="107" t="s">
        <v>158</v>
      </c>
      <c r="B18" s="107">
        <v>2018</v>
      </c>
      <c r="C18" s="107"/>
      <c r="D18" s="107"/>
      <c r="E18" s="107"/>
      <c r="G18" s="3" t="s">
        <v>205</v>
      </c>
      <c r="H18" s="3"/>
    </row>
    <row r="19" spans="1:8" ht="15.75" thickBot="1">
      <c r="A19" s="23" t="s">
        <v>161</v>
      </c>
      <c r="B19" s="25" t="s">
        <v>32</v>
      </c>
      <c r="C19" s="25" t="s">
        <v>33</v>
      </c>
      <c r="D19" s="26" t="s">
        <v>34</v>
      </c>
      <c r="E19" s="26" t="s">
        <v>35</v>
      </c>
      <c r="G19" s="132" t="s">
        <v>206</v>
      </c>
      <c r="H19" s="121">
        <v>2018</v>
      </c>
    </row>
    <row r="20" spans="1:8">
      <c r="A20" s="31" t="s">
        <v>163</v>
      </c>
      <c r="B20" s="33">
        <f>'Nettab 810 Brønderslev'!C29</f>
        <v>262770</v>
      </c>
      <c r="C20" s="33">
        <f>'Nettab 810 Brønderslev'!D29</f>
        <v>197237</v>
      </c>
      <c r="D20" s="62">
        <f>B20-C20</f>
        <v>65533</v>
      </c>
      <c r="E20" s="88">
        <f>IFERROR(D20/B20,"")</f>
        <v>0.24939300528979716</v>
      </c>
      <c r="G20" s="133" t="s">
        <v>207</v>
      </c>
      <c r="H20" s="134">
        <v>0.65200000000000002</v>
      </c>
    </row>
    <row r="21" spans="1:8">
      <c r="A21" s="31" t="s">
        <v>164</v>
      </c>
      <c r="B21" s="33">
        <f>'Nettab 813 Frederikshavn'!C29</f>
        <v>428551</v>
      </c>
      <c r="C21" s="33">
        <f>'Nettab 813 Frederikshavn'!D29</f>
        <v>338240</v>
      </c>
      <c r="D21" s="62">
        <f t="shared" ref="D21:D31" si="3">B21-C21</f>
        <v>90311</v>
      </c>
      <c r="E21" s="34">
        <f t="shared" ref="E21:E31" si="4">IFERROR(D21/B21,"")</f>
        <v>0.21073571173559272</v>
      </c>
      <c r="G21" s="127" t="s">
        <v>208</v>
      </c>
      <c r="H21" s="135">
        <v>9.9000000000000005E-2</v>
      </c>
    </row>
    <row r="22" spans="1:8">
      <c r="A22" s="47" t="s">
        <v>165</v>
      </c>
      <c r="B22" s="37">
        <f>'Nettab 860 Hjørring'!C17</f>
        <v>537272</v>
      </c>
      <c r="C22" s="37">
        <f>'Nettab 860 Hjørring'!D17</f>
        <v>429352</v>
      </c>
      <c r="D22" s="62">
        <f t="shared" si="3"/>
        <v>107920</v>
      </c>
      <c r="E22" s="34">
        <f t="shared" si="4"/>
        <v>0.20086660015783439</v>
      </c>
      <c r="G22" s="127" t="s">
        <v>209</v>
      </c>
      <c r="H22" s="135">
        <v>0.13300000000000001</v>
      </c>
    </row>
    <row r="23" spans="1:8">
      <c r="A23" s="47" t="s">
        <v>166</v>
      </c>
      <c r="B23" s="37">
        <f>'Nettab 849 Jammerbugt'!C33</f>
        <v>252514</v>
      </c>
      <c r="C23" s="37">
        <f>'Nettab 849 Jammerbugt'!D33</f>
        <v>180877</v>
      </c>
      <c r="D23" s="62">
        <f t="shared" si="3"/>
        <v>71637</v>
      </c>
      <c r="E23" s="34">
        <f t="shared" si="4"/>
        <v>0.28369516145639451</v>
      </c>
      <c r="G23" s="127" t="s">
        <v>210</v>
      </c>
      <c r="H23" s="135">
        <v>7.0000000000000007E-2</v>
      </c>
    </row>
    <row r="24" spans="1:8">
      <c r="A24" s="31" t="s">
        <v>167</v>
      </c>
      <c r="B24" s="33">
        <f>'Nettab 825 Læsø'!C11</f>
        <v>0</v>
      </c>
      <c r="C24" s="33">
        <f>'Nettab 825 Læsø'!D11</f>
        <v>0</v>
      </c>
      <c r="D24" s="62">
        <f t="shared" si="3"/>
        <v>0</v>
      </c>
      <c r="E24" s="34">
        <f>'Nettab 825 Læsø'!F11</f>
        <v>0.25</v>
      </c>
      <c r="G24" s="127" t="s">
        <v>211</v>
      </c>
      <c r="H24" s="135">
        <v>3.2000000000000001E-2</v>
      </c>
    </row>
    <row r="25" spans="1:8" ht="15.75" thickBot="1">
      <c r="A25" s="31" t="s">
        <v>168</v>
      </c>
      <c r="B25" s="33">
        <f>'Nettab 846 Mariagerfjord'!C31</f>
        <v>246184</v>
      </c>
      <c r="C25" s="33">
        <f>'Nettab 846 Mariagerfjord'!D31</f>
        <v>185305.3</v>
      </c>
      <c r="D25" s="62">
        <f t="shared" si="3"/>
        <v>60878.700000000012</v>
      </c>
      <c r="E25" s="34">
        <f t="shared" si="4"/>
        <v>0.24728942579534011</v>
      </c>
      <c r="G25" s="136" t="s">
        <v>212</v>
      </c>
      <c r="H25" s="137">
        <v>1.4999999999999999E-2</v>
      </c>
    </row>
    <row r="26" spans="1:8" ht="15.75" thickBot="1">
      <c r="A26" s="31" t="s">
        <v>162</v>
      </c>
      <c r="B26" s="33">
        <f>'Nettab 773 Morsø'!C15</f>
        <v>73081.59</v>
      </c>
      <c r="C26" s="33">
        <f>'Nettab 773 Morsø'!D15</f>
        <v>55343.1</v>
      </c>
      <c r="D26" s="62">
        <f t="shared" si="3"/>
        <v>17738.489999999998</v>
      </c>
      <c r="E26" s="34">
        <f t="shared" si="4"/>
        <v>0.24272173060274138</v>
      </c>
      <c r="G26" s="132" t="s">
        <v>46</v>
      </c>
      <c r="H26" s="138">
        <v>1</v>
      </c>
    </row>
    <row r="27" spans="1:8">
      <c r="A27" s="31" t="s">
        <v>169</v>
      </c>
      <c r="B27" s="33">
        <f>'Nettab 840 Rebild'!C29</f>
        <v>178712.01980258385</v>
      </c>
      <c r="C27" s="33">
        <f>'Nettab 840 Rebild'!D29</f>
        <v>134122.51633338805</v>
      </c>
      <c r="D27" s="62">
        <f t="shared" si="3"/>
        <v>44589.503469195799</v>
      </c>
      <c r="E27" s="34">
        <f t="shared" si="4"/>
        <v>0.24950478159472469</v>
      </c>
      <c r="G27" s="3" t="s">
        <v>215</v>
      </c>
      <c r="H27" s="3"/>
    </row>
    <row r="28" spans="1:8">
      <c r="A28" s="31" t="s">
        <v>170</v>
      </c>
      <c r="B28" s="33">
        <f>'Nettab 787 Thisted'!C32</f>
        <v>350641.56666666665</v>
      </c>
      <c r="C28" s="22">
        <f>'Nettab 787 Thisted'!D32</f>
        <v>286265.52222222224</v>
      </c>
      <c r="D28" s="92">
        <f t="shared" si="3"/>
        <v>64376.044444444415</v>
      </c>
      <c r="E28" s="38">
        <f t="shared" si="4"/>
        <v>0.18359501714650606</v>
      </c>
      <c r="G28" s="3" t="s">
        <v>214</v>
      </c>
      <c r="H28" s="3"/>
    </row>
    <row r="29" spans="1:8">
      <c r="A29" s="31" t="s">
        <v>171</v>
      </c>
      <c r="B29" s="33">
        <f>'Nettab 820 Vesthimmerland'!C25</f>
        <v>228903.24469045238</v>
      </c>
      <c r="C29" s="33">
        <f>'Nettab 820 Vesthimmerland'!D25</f>
        <v>175203.47915616626</v>
      </c>
      <c r="D29" s="92">
        <f t="shared" si="3"/>
        <v>53699.765534286125</v>
      </c>
      <c r="E29" s="38">
        <f t="shared" si="4"/>
        <v>0.23459591237732227</v>
      </c>
    </row>
    <row r="30" spans="1:8" ht="15.75" thickBot="1">
      <c r="A30" s="47" t="s">
        <v>172</v>
      </c>
      <c r="B30" s="37">
        <f>'Nettab 851 Aalborg'!C14</f>
        <v>2053229.01</v>
      </c>
      <c r="C30" s="37">
        <f>'Nettab 851 Aalborg'!D14</f>
        <v>1718529.1</v>
      </c>
      <c r="D30" s="92">
        <f t="shared" si="3"/>
        <v>334699.90999999992</v>
      </c>
      <c r="E30" s="38">
        <f t="shared" si="4"/>
        <v>0.1630114850169587</v>
      </c>
    </row>
    <row r="31" spans="1:8" ht="15.75" thickBot="1">
      <c r="A31" s="49" t="s">
        <v>46</v>
      </c>
      <c r="B31" s="41">
        <f>SUM(B20:B30)</f>
        <v>4611858.4311597031</v>
      </c>
      <c r="C31" s="41">
        <f>SUM(C20:C30)</f>
        <v>3700475.0177117768</v>
      </c>
      <c r="D31" s="41">
        <f t="shared" si="3"/>
        <v>911383.41344792629</v>
      </c>
      <c r="E31" s="95">
        <f t="shared" si="4"/>
        <v>0.197617387231626</v>
      </c>
      <c r="G31" s="102"/>
    </row>
    <row r="34" spans="1:7" ht="15.75" thickBot="1">
      <c r="A34" s="21" t="s">
        <v>158</v>
      </c>
      <c r="B34" s="21">
        <v>2016</v>
      </c>
    </row>
    <row r="35" spans="1:7" ht="15.75" thickBot="1">
      <c r="A35" s="23" t="s">
        <v>161</v>
      </c>
      <c r="B35" s="25" t="s">
        <v>32</v>
      </c>
      <c r="C35" s="25" t="s">
        <v>33</v>
      </c>
      <c r="D35" s="26" t="s">
        <v>34</v>
      </c>
      <c r="E35" s="26" t="s">
        <v>35</v>
      </c>
    </row>
    <row r="36" spans="1:7">
      <c r="A36" s="31" t="s">
        <v>163</v>
      </c>
      <c r="B36" s="33">
        <f>'Nettab 810 Brønderslev'!C43</f>
        <v>261255</v>
      </c>
      <c r="C36" s="33">
        <f>'Nettab 810 Brønderslev'!D43</f>
        <v>197311</v>
      </c>
      <c r="D36" s="62">
        <f>B36-C36</f>
        <v>63944</v>
      </c>
      <c r="E36" s="88">
        <f>IFERROR(D36/B36,"")</f>
        <v>0.24475703814281066</v>
      </c>
    </row>
    <row r="37" spans="1:7">
      <c r="A37" s="31" t="s">
        <v>164</v>
      </c>
      <c r="B37" s="33">
        <f>'Nettab 813 Frederikshavn'!C43</f>
        <v>418973</v>
      </c>
      <c r="C37" s="33">
        <f>'Nettab 813 Frederikshavn'!D43</f>
        <v>329930</v>
      </c>
      <c r="D37" s="62">
        <f t="shared" ref="D37" si="5">B37-C37</f>
        <v>89043</v>
      </c>
      <c r="E37" s="34">
        <f t="shared" ref="E37" si="6">IFERROR(D37/B37,"")</f>
        <v>0.21252682153742605</v>
      </c>
    </row>
    <row r="38" spans="1:7">
      <c r="A38" s="47" t="s">
        <v>165</v>
      </c>
      <c r="B38" s="37">
        <f>'Nettab 860 Hjørring'!C33</f>
        <v>522299.9</v>
      </c>
      <c r="C38" s="37">
        <f>'Nettab 860 Hjørring'!D33</f>
        <v>410892.79999999999</v>
      </c>
      <c r="D38" s="62">
        <f t="shared" ref="D38:D41" si="7">B38-C38</f>
        <v>111407.10000000003</v>
      </c>
      <c r="E38" s="34">
        <f t="shared" ref="E38:E41" si="8">IFERROR(D38/B38,"")</f>
        <v>0.21330101728910925</v>
      </c>
    </row>
    <row r="39" spans="1:7">
      <c r="A39" s="47" t="s">
        <v>166</v>
      </c>
      <c r="B39" s="37">
        <f>'Nettab 849 Jammerbugt'!C49</f>
        <v>241332</v>
      </c>
      <c r="C39" s="37">
        <f>'Nettab 849 Jammerbugt'!D49</f>
        <v>175156</v>
      </c>
      <c r="D39" s="62">
        <f t="shared" si="7"/>
        <v>66176</v>
      </c>
      <c r="E39" s="34">
        <f t="shared" si="8"/>
        <v>0.27421145973182171</v>
      </c>
    </row>
    <row r="40" spans="1:7">
      <c r="A40" s="31" t="s">
        <v>167</v>
      </c>
      <c r="B40" s="33">
        <f>'Nettab 825 Læsø'!C16</f>
        <v>0</v>
      </c>
      <c r="C40" s="33">
        <f>'Nettab 825 Læsø'!D16</f>
        <v>0</v>
      </c>
      <c r="D40" s="62">
        <f t="shared" si="7"/>
        <v>0</v>
      </c>
      <c r="E40" s="34">
        <v>0.25</v>
      </c>
    </row>
    <row r="41" spans="1:7">
      <c r="A41" s="31" t="s">
        <v>168</v>
      </c>
      <c r="B41" s="33">
        <f>'Nettab 846 Mariagerfjord'!C46</f>
        <v>237677</v>
      </c>
      <c r="C41" s="33">
        <f>'Nettab 846 Mariagerfjord'!D46</f>
        <v>176211.3</v>
      </c>
      <c r="D41" s="62">
        <f t="shared" si="7"/>
        <v>61465.700000000012</v>
      </c>
      <c r="E41" s="34">
        <f t="shared" si="8"/>
        <v>0.2586102147031476</v>
      </c>
    </row>
    <row r="42" spans="1:7">
      <c r="A42" s="31" t="s">
        <v>162</v>
      </c>
      <c r="B42" s="33">
        <f>'Nettab 773 Morsø'!C22</f>
        <v>72079.59</v>
      </c>
      <c r="C42" s="33">
        <f>'Nettab 773 Morsø'!D22</f>
        <v>53486.1</v>
      </c>
      <c r="D42" s="62">
        <f t="shared" ref="D42:D46" si="9">B42-C42</f>
        <v>18593.489999999998</v>
      </c>
      <c r="E42" s="34">
        <f t="shared" ref="E42:E46" si="10">IFERROR(D42/B42,"")</f>
        <v>0.25795776585299662</v>
      </c>
    </row>
    <row r="43" spans="1:7">
      <c r="A43" s="31" t="s">
        <v>169</v>
      </c>
      <c r="B43" s="33">
        <f>'Nettab 840 Rebild'!C44</f>
        <v>169619.38731020287</v>
      </c>
      <c r="C43" s="33">
        <f>'Nettab 840 Rebild'!D44</f>
        <v>126328.693</v>
      </c>
      <c r="D43" s="62">
        <f t="shared" si="9"/>
        <v>43290.694310202874</v>
      </c>
      <c r="E43" s="34">
        <f t="shared" si="10"/>
        <v>0.25522256032579638</v>
      </c>
    </row>
    <row r="44" spans="1:7">
      <c r="A44" s="31" t="s">
        <v>170</v>
      </c>
      <c r="B44" s="33">
        <f>'Nettab 787 Thisted'!C48</f>
        <v>353032.56666666665</v>
      </c>
      <c r="C44" s="22">
        <f>'Nettab 787 Thisted'!D48</f>
        <v>291033.90222222224</v>
      </c>
      <c r="D44" s="92">
        <f t="shared" si="9"/>
        <v>61998.66444444441</v>
      </c>
      <c r="E44" s="38">
        <f t="shared" si="10"/>
        <v>0.17561740841598772</v>
      </c>
    </row>
    <row r="45" spans="1:7">
      <c r="A45" s="31" t="s">
        <v>171</v>
      </c>
      <c r="B45" s="33">
        <f>'Nettab 820 Vesthimmerland'!C38</f>
        <v>274065.24307465291</v>
      </c>
      <c r="C45" s="33">
        <f>'Nettab 820 Vesthimmerland'!D38</f>
        <v>206234.99135071068</v>
      </c>
      <c r="D45" s="92">
        <f t="shared" si="9"/>
        <v>67830.25172394223</v>
      </c>
      <c r="E45" s="38">
        <f t="shared" si="10"/>
        <v>0.24749673093521704</v>
      </c>
    </row>
    <row r="46" spans="1:7" ht="15.75" thickBot="1">
      <c r="A46" s="47" t="s">
        <v>172</v>
      </c>
      <c r="B46" s="37">
        <f>'Nettab 851 Aalborg'!C42</f>
        <v>1972068</v>
      </c>
      <c r="C46" s="37">
        <f>'Nettab 851 Aalborg'!D42</f>
        <v>1570195.1939999999</v>
      </c>
      <c r="D46" s="92">
        <f t="shared" si="9"/>
        <v>401872.8060000001</v>
      </c>
      <c r="E46" s="38">
        <f t="shared" si="10"/>
        <v>0.2037824283949641</v>
      </c>
    </row>
    <row r="47" spans="1:7" ht="15.75" thickBot="1">
      <c r="A47" s="49" t="s">
        <v>46</v>
      </c>
      <c r="B47" s="41">
        <f>SUM(B36:B46)</f>
        <v>4522401.6870515225</v>
      </c>
      <c r="C47" s="41">
        <f>SUM(C36:C46)</f>
        <v>3536779.9805729329</v>
      </c>
      <c r="D47" s="41">
        <f t="shared" ref="D47" si="11">B47-C47</f>
        <v>985621.70647858968</v>
      </c>
      <c r="E47" s="95">
        <f t="shared" ref="E47" si="12">IFERROR(D47/B47,"")</f>
        <v>0.2179420968510179</v>
      </c>
      <c r="G47" s="102"/>
    </row>
    <row r="50" spans="1:5" ht="15.75" thickBot="1">
      <c r="A50" s="21" t="s">
        <v>158</v>
      </c>
      <c r="B50" s="21">
        <v>2010</v>
      </c>
    </row>
    <row r="51" spans="1:5" ht="15.75" thickBot="1">
      <c r="A51" s="23" t="s">
        <v>161</v>
      </c>
      <c r="B51" s="25" t="s">
        <v>32</v>
      </c>
      <c r="C51" s="25" t="s">
        <v>33</v>
      </c>
      <c r="D51" s="26" t="s">
        <v>34</v>
      </c>
      <c r="E51" s="26" t="s">
        <v>35</v>
      </c>
    </row>
    <row r="52" spans="1:5">
      <c r="A52" s="84" t="s">
        <v>163</v>
      </c>
      <c r="B52" s="33">
        <f>'Nettab 810 Brønderslev'!B58</f>
        <v>260774</v>
      </c>
      <c r="C52" s="33">
        <f>'Nettab 810 Brønderslev'!C58</f>
        <v>186910</v>
      </c>
      <c r="D52" s="62">
        <f>B52-C52</f>
        <v>73864</v>
      </c>
      <c r="E52" s="88">
        <f>IFERROR(D52/B52,"")</f>
        <v>0.28324909691917138</v>
      </c>
    </row>
    <row r="53" spans="1:5">
      <c r="A53" s="31" t="s">
        <v>164</v>
      </c>
      <c r="B53" s="33">
        <f>'Nettab 813 Frederikshavn'!B58</f>
        <v>468421</v>
      </c>
      <c r="C53" s="33">
        <f>'Nettab 813 Frederikshavn'!C58</f>
        <v>365620</v>
      </c>
      <c r="D53" s="62">
        <f t="shared" ref="D53:D62" si="13">B53-C53</f>
        <v>102801</v>
      </c>
      <c r="E53" s="34">
        <f t="shared" ref="E53:E62" si="14">IFERROR(D53/B53,"")</f>
        <v>0.2194628336475094</v>
      </c>
    </row>
    <row r="54" spans="1:5">
      <c r="A54" s="31" t="s">
        <v>165</v>
      </c>
      <c r="B54" s="33">
        <f>'Nettab 860 Hjørring'!B66</f>
        <v>514064</v>
      </c>
      <c r="C54" s="33">
        <f>'Nettab 860 Hjørring'!C66</f>
        <v>398513</v>
      </c>
      <c r="D54" s="62">
        <f t="shared" si="13"/>
        <v>115551</v>
      </c>
      <c r="E54" s="34">
        <f t="shared" si="14"/>
        <v>0.22477940489900089</v>
      </c>
    </row>
    <row r="55" spans="1:5">
      <c r="A55" s="31" t="s">
        <v>166</v>
      </c>
      <c r="B55" s="33">
        <f>'Nettab 849 Jammerbugt'!B66</f>
        <v>249769</v>
      </c>
      <c r="C55" s="33">
        <f>'Nettab 849 Jammerbugt'!C66</f>
        <v>183163.071</v>
      </c>
      <c r="D55" s="62">
        <f t="shared" si="13"/>
        <v>66605.929000000004</v>
      </c>
      <c r="E55" s="34">
        <f t="shared" si="14"/>
        <v>0.26667011919013167</v>
      </c>
    </row>
    <row r="56" spans="1:5">
      <c r="A56" s="31" t="s">
        <v>167</v>
      </c>
      <c r="B56" s="33">
        <f>'Nettab 825 Læsø'!C33</f>
        <v>0</v>
      </c>
      <c r="C56" s="33">
        <f>'Nettab 825 Læsø'!D33</f>
        <v>0</v>
      </c>
      <c r="D56" s="62">
        <f t="shared" si="13"/>
        <v>0</v>
      </c>
      <c r="E56" s="34">
        <v>0.25</v>
      </c>
    </row>
    <row r="57" spans="1:5">
      <c r="A57" s="31" t="s">
        <v>168</v>
      </c>
      <c r="B57" s="33">
        <f>'Nettab 846 Mariagerfjord'!B62</f>
        <v>226758</v>
      </c>
      <c r="C57" s="33">
        <f>'Nettab 846 Mariagerfjord'!C62</f>
        <v>162359</v>
      </c>
      <c r="D57" s="62">
        <f t="shared" si="13"/>
        <v>64399</v>
      </c>
      <c r="E57" s="34">
        <f t="shared" si="14"/>
        <v>0.28399880048333465</v>
      </c>
    </row>
    <row r="58" spans="1:5">
      <c r="A58" s="31" t="s">
        <v>162</v>
      </c>
      <c r="B58" s="33">
        <f>'Nettab 773 Morsø'!B30</f>
        <v>81217</v>
      </c>
      <c r="C58" s="33">
        <f>'Nettab 773 Morsø'!C30</f>
        <v>60757.55</v>
      </c>
      <c r="D58" s="62">
        <f t="shared" si="13"/>
        <v>20459.449999999997</v>
      </c>
      <c r="E58" s="34">
        <f t="shared" si="14"/>
        <v>0.25191092997771397</v>
      </c>
    </row>
    <row r="59" spans="1:5">
      <c r="A59" s="47" t="s">
        <v>169</v>
      </c>
      <c r="B59" s="37">
        <f>'Nettab 840 Rebild'!B62</f>
        <v>111776</v>
      </c>
      <c r="C59" s="37">
        <f>'Nettab 840 Rebild'!C62</f>
        <v>83717.625</v>
      </c>
      <c r="D59" s="62">
        <f t="shared" si="13"/>
        <v>28058.375</v>
      </c>
      <c r="E59" s="34">
        <f t="shared" si="14"/>
        <v>0.2510232518608646</v>
      </c>
    </row>
    <row r="60" spans="1:5">
      <c r="A60" s="47" t="s">
        <v>170</v>
      </c>
      <c r="B60" s="37">
        <f>'Nettab 787 Thisted'!B80</f>
        <v>380414.3</v>
      </c>
      <c r="C60" s="37">
        <f>'Nettab 787 Thisted'!C80</f>
        <v>296401.038</v>
      </c>
      <c r="D60" s="92">
        <f t="shared" si="13"/>
        <v>84013.261999999988</v>
      </c>
      <c r="E60" s="38">
        <f t="shared" si="14"/>
        <v>0.2208467505033328</v>
      </c>
    </row>
    <row r="61" spans="1:5">
      <c r="A61" s="47" t="s">
        <v>171</v>
      </c>
      <c r="B61" s="37">
        <f>'Nettab 820 Vesthimmerland'!C38</f>
        <v>274065.24307465291</v>
      </c>
      <c r="C61" s="37">
        <f>'Nettab 820 Vesthimmerland'!D38</f>
        <v>206234.99135071068</v>
      </c>
      <c r="D61" s="92">
        <f t="shared" si="13"/>
        <v>67830.25172394223</v>
      </c>
      <c r="E61" s="38">
        <f t="shared" si="14"/>
        <v>0.24749673093521704</v>
      </c>
    </row>
    <row r="62" spans="1:5" ht="15.75" thickBot="1">
      <c r="A62" s="47" t="s">
        <v>172</v>
      </c>
      <c r="B62" s="37">
        <f>'Nettab 851 Aalborg'!B56</f>
        <v>2072152.6</v>
      </c>
      <c r="C62" s="37">
        <f>'Nettab 851 Aalborg'!C56</f>
        <v>1700300.4236000001</v>
      </c>
      <c r="D62" s="92">
        <f t="shared" si="13"/>
        <v>371852.1764</v>
      </c>
      <c r="E62" s="38">
        <f t="shared" si="14"/>
        <v>0.17945211969427347</v>
      </c>
    </row>
    <row r="63" spans="1:5" ht="15.75" thickBot="1">
      <c r="A63" s="49" t="s">
        <v>46</v>
      </c>
      <c r="B63" s="41">
        <f>SUM(B52:B62)</f>
        <v>4639411.1430746522</v>
      </c>
      <c r="C63" s="41">
        <f>SUM(C52:C62)</f>
        <v>3643976.6989507107</v>
      </c>
      <c r="D63" s="41">
        <f>B63-C63</f>
        <v>995434.44412394147</v>
      </c>
      <c r="E63" s="95">
        <f>IFERROR(D63/B63,"")</f>
        <v>0.21456051499334083</v>
      </c>
    </row>
    <row r="64" spans="1:5" s="4" customFormat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3235-B50E-457D-9689-965FB7F4ABA7}">
  <dimension ref="A1:BB96"/>
  <sheetViews>
    <sheetView workbookViewId="0">
      <selection activeCell="F16" sqref="F16"/>
    </sheetView>
  </sheetViews>
  <sheetFormatPr defaultColWidth="9.140625" defaultRowHeight="15"/>
  <cols>
    <col min="1" max="1" width="24.5703125" style="21" bestFit="1" customWidth="1"/>
    <col min="2" max="2" width="21.140625" style="2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3" style="21" customWidth="1"/>
    <col min="8" max="8" width="2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19</v>
      </c>
      <c r="B3" s="107">
        <v>2020</v>
      </c>
    </row>
    <row r="4" spans="1:54" s="107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7" customFormat="1">
      <c r="A5" s="84" t="s">
        <v>130</v>
      </c>
      <c r="B5" s="85" t="s">
        <v>176</v>
      </c>
      <c r="C5" s="86">
        <v>10221</v>
      </c>
      <c r="D5" s="86">
        <v>8304</v>
      </c>
      <c r="E5" s="87">
        <f>C5-D5</f>
        <v>1917</v>
      </c>
      <c r="F5" s="88">
        <f>IFERROR(E5/C5,"")</f>
        <v>0.18755503375403582</v>
      </c>
    </row>
    <row r="6" spans="1:54" s="107" customFormat="1">
      <c r="A6" s="31" t="s">
        <v>131</v>
      </c>
      <c r="B6" s="66" t="s">
        <v>159</v>
      </c>
      <c r="C6" s="33">
        <v>6901.6666666666661</v>
      </c>
      <c r="D6" s="33">
        <v>4972.2222222222217</v>
      </c>
      <c r="E6" s="62">
        <f>C6-D6</f>
        <v>1929.4444444444443</v>
      </c>
      <c r="F6" s="34">
        <f>IFERROR(E6/C6,"")</f>
        <v>0.27956210255171859</v>
      </c>
    </row>
    <row r="7" spans="1:54" s="107" customFormat="1">
      <c r="A7" s="31" t="s">
        <v>132</v>
      </c>
      <c r="B7" s="66" t="s">
        <v>198</v>
      </c>
      <c r="C7" s="33">
        <v>32020</v>
      </c>
      <c r="D7" s="33">
        <v>17447</v>
      </c>
      <c r="E7" s="62">
        <f>C7-D7</f>
        <v>14573</v>
      </c>
      <c r="F7" s="34">
        <f>IFERROR(E7/C7,"")</f>
        <v>0.4551217988757027</v>
      </c>
    </row>
    <row r="8" spans="1:54" s="107" customFormat="1">
      <c r="A8" s="31" t="s">
        <v>133</v>
      </c>
      <c r="B8" s="66" t="s">
        <v>182</v>
      </c>
      <c r="C8" s="33">
        <v>46313</v>
      </c>
      <c r="D8" s="33">
        <v>37046</v>
      </c>
      <c r="E8" s="62">
        <f t="shared" ref="E8:E15" si="0">C8-D8</f>
        <v>9267</v>
      </c>
      <c r="F8" s="34">
        <f t="shared" ref="F8:F16" si="1">IFERROR(E8/C8,"")</f>
        <v>0.20009500572193553</v>
      </c>
    </row>
    <row r="9" spans="1:54" s="107" customFormat="1">
      <c r="A9" s="31" t="s">
        <v>183</v>
      </c>
      <c r="B9" s="32" t="s">
        <v>159</v>
      </c>
      <c r="C9" s="33">
        <v>0</v>
      </c>
      <c r="D9" s="33">
        <v>0</v>
      </c>
      <c r="E9" s="62">
        <f t="shared" si="0"/>
        <v>0</v>
      </c>
      <c r="F9" s="34" t="str">
        <f t="shared" si="1"/>
        <v/>
      </c>
    </row>
    <row r="10" spans="1:54" s="107" customFormat="1">
      <c r="A10" s="31" t="s">
        <v>135</v>
      </c>
      <c r="B10" s="32" t="s">
        <v>159</v>
      </c>
      <c r="C10" s="33">
        <v>12010</v>
      </c>
      <c r="D10" s="33">
        <v>9256</v>
      </c>
      <c r="E10" s="62">
        <f t="shared" si="0"/>
        <v>2754</v>
      </c>
      <c r="F10" s="34">
        <f t="shared" si="1"/>
        <v>0.22930890924229808</v>
      </c>
    </row>
    <row r="11" spans="1:54" s="107" customFormat="1">
      <c r="A11" s="31" t="s">
        <v>19</v>
      </c>
      <c r="B11" s="32" t="s">
        <v>198</v>
      </c>
      <c r="C11" s="33">
        <v>180227</v>
      </c>
      <c r="D11" s="33">
        <v>149935</v>
      </c>
      <c r="E11" s="62">
        <f t="shared" si="0"/>
        <v>30292</v>
      </c>
      <c r="F11" s="34">
        <f t="shared" si="1"/>
        <v>0.16807692521098391</v>
      </c>
    </row>
    <row r="12" spans="1:54" s="107" customFormat="1">
      <c r="A12" s="31" t="s">
        <v>136</v>
      </c>
      <c r="B12" s="1" t="s">
        <v>159</v>
      </c>
      <c r="C12" s="33">
        <v>3650</v>
      </c>
      <c r="D12" s="33">
        <v>2920</v>
      </c>
      <c r="E12" s="62">
        <f t="shared" si="0"/>
        <v>730</v>
      </c>
      <c r="F12" s="34">
        <f t="shared" si="1"/>
        <v>0.2</v>
      </c>
    </row>
    <row r="13" spans="1:54" s="107" customFormat="1">
      <c r="A13" s="31" t="s">
        <v>137</v>
      </c>
      <c r="B13" s="32" t="s">
        <v>198</v>
      </c>
      <c r="C13" s="33">
        <v>14336</v>
      </c>
      <c r="D13" s="33">
        <v>11729</v>
      </c>
      <c r="E13" s="62">
        <f t="shared" si="0"/>
        <v>2607</v>
      </c>
      <c r="F13" s="34">
        <f t="shared" si="1"/>
        <v>0.18184988839285715</v>
      </c>
    </row>
    <row r="14" spans="1:54" s="107" customFormat="1">
      <c r="A14" s="31" t="s">
        <v>138</v>
      </c>
      <c r="B14" s="32" t="s">
        <v>176</v>
      </c>
      <c r="C14" s="33">
        <v>8656</v>
      </c>
      <c r="D14" s="33">
        <v>5308</v>
      </c>
      <c r="E14" s="62">
        <f t="shared" si="0"/>
        <v>3348</v>
      </c>
      <c r="F14" s="34">
        <f t="shared" si="1"/>
        <v>0.3867837338262477</v>
      </c>
    </row>
    <row r="15" spans="1:54" s="107" customFormat="1" ht="15.75" thickBot="1">
      <c r="A15" s="47" t="s">
        <v>139</v>
      </c>
      <c r="B15" s="36" t="s">
        <v>159</v>
      </c>
      <c r="C15" s="37">
        <v>6323</v>
      </c>
      <c r="D15" s="37">
        <v>4559</v>
      </c>
      <c r="E15" s="92">
        <f t="shared" si="0"/>
        <v>1764</v>
      </c>
      <c r="F15" s="38">
        <f t="shared" si="1"/>
        <v>0.27898149612525702</v>
      </c>
    </row>
    <row r="16" spans="1:54" s="107" customFormat="1" ht="15.75" thickBot="1">
      <c r="A16" s="49" t="s">
        <v>46</v>
      </c>
      <c r="B16" s="40"/>
      <c r="C16" s="41">
        <f>SUM(C5:C15)</f>
        <v>320657.66666666663</v>
      </c>
      <c r="D16" s="41">
        <f>SUM(D5:D15)</f>
        <v>251476.22222222222</v>
      </c>
      <c r="E16" s="41">
        <f>C16-D16</f>
        <v>69181.444444444409</v>
      </c>
      <c r="F16" s="95">
        <f t="shared" si="1"/>
        <v>0.21574860555684333</v>
      </c>
    </row>
    <row r="17" spans="1:6" s="107" customFormat="1">
      <c r="A17" s="82" t="s">
        <v>200</v>
      </c>
    </row>
    <row r="18" spans="1:6" s="107" customFormat="1"/>
    <row r="19" spans="1:6" s="107" customFormat="1" ht="15.75" thickBot="1">
      <c r="A19" s="107" t="s">
        <v>19</v>
      </c>
      <c r="B19" s="107">
        <v>2018</v>
      </c>
    </row>
    <row r="20" spans="1:6" s="107" customFormat="1" ht="15.75" thickBot="1">
      <c r="A20" s="23" t="s">
        <v>31</v>
      </c>
      <c r="B20" s="24" t="s">
        <v>55</v>
      </c>
      <c r="C20" s="25" t="s">
        <v>32</v>
      </c>
      <c r="D20" s="25" t="s">
        <v>33</v>
      </c>
      <c r="E20" s="26" t="s">
        <v>34</v>
      </c>
      <c r="F20" s="26" t="s">
        <v>35</v>
      </c>
    </row>
    <row r="21" spans="1:6" s="107" customFormat="1">
      <c r="A21" s="84" t="s">
        <v>130</v>
      </c>
      <c r="B21" s="85" t="s">
        <v>176</v>
      </c>
      <c r="C21" s="86">
        <v>10221</v>
      </c>
      <c r="D21" s="86">
        <v>8304</v>
      </c>
      <c r="E21" s="87">
        <f>C21-D21</f>
        <v>1917</v>
      </c>
      <c r="F21" s="88">
        <f>IFERROR(E21/C21,"")</f>
        <v>0.18755503375403582</v>
      </c>
    </row>
    <row r="22" spans="1:6" s="107" customFormat="1">
      <c r="A22" s="31" t="s">
        <v>131</v>
      </c>
      <c r="B22" s="66" t="s">
        <v>159</v>
      </c>
      <c r="C22" s="33">
        <v>6901.6666666666661</v>
      </c>
      <c r="D22" s="33">
        <v>4972.2222222222217</v>
      </c>
      <c r="E22" s="62">
        <f>C22-D22</f>
        <v>1929.4444444444443</v>
      </c>
      <c r="F22" s="34">
        <f>IFERROR(E22/C22,"")</f>
        <v>0.27956210255171859</v>
      </c>
    </row>
    <row r="23" spans="1:6" s="107" customFormat="1">
      <c r="A23" s="31" t="s">
        <v>132</v>
      </c>
      <c r="B23" s="66" t="s">
        <v>176</v>
      </c>
      <c r="C23" s="33">
        <v>33150</v>
      </c>
      <c r="D23" s="33">
        <v>25236</v>
      </c>
      <c r="E23" s="62">
        <f>C23-D23</f>
        <v>7914</v>
      </c>
      <c r="F23" s="34">
        <f>IFERROR(E23/C23,"")</f>
        <v>0.23873303167420815</v>
      </c>
    </row>
    <row r="24" spans="1:6" s="107" customFormat="1">
      <c r="A24" s="31" t="s">
        <v>133</v>
      </c>
      <c r="B24" s="66" t="s">
        <v>182</v>
      </c>
      <c r="C24" s="33">
        <v>46313</v>
      </c>
      <c r="D24" s="33">
        <v>37046</v>
      </c>
      <c r="E24" s="62">
        <f t="shared" ref="E24:E31" si="2">C24-D24</f>
        <v>9267</v>
      </c>
      <c r="F24" s="34">
        <f t="shared" ref="F24:F32" si="3">IFERROR(E24/C24,"")</f>
        <v>0.20009500572193553</v>
      </c>
    </row>
    <row r="25" spans="1:6" s="107" customFormat="1">
      <c r="A25" s="31" t="s">
        <v>183</v>
      </c>
      <c r="B25" s="32" t="s">
        <v>159</v>
      </c>
      <c r="C25" s="33">
        <v>8032.9</v>
      </c>
      <c r="D25" s="33">
        <v>5073.3</v>
      </c>
      <c r="E25" s="62">
        <f t="shared" si="2"/>
        <v>2959.5999999999995</v>
      </c>
      <c r="F25" s="34">
        <f t="shared" si="3"/>
        <v>0.3684348118363231</v>
      </c>
    </row>
    <row r="26" spans="1:6" s="107" customFormat="1">
      <c r="A26" s="31" t="s">
        <v>135</v>
      </c>
      <c r="B26" s="32" t="s">
        <v>159</v>
      </c>
      <c r="C26" s="33">
        <v>12010</v>
      </c>
      <c r="D26" s="33">
        <v>9256</v>
      </c>
      <c r="E26" s="62">
        <f t="shared" si="2"/>
        <v>2754</v>
      </c>
      <c r="F26" s="34">
        <f t="shared" si="3"/>
        <v>0.22930890924229808</v>
      </c>
    </row>
    <row r="27" spans="1:6" s="107" customFormat="1">
      <c r="A27" s="31" t="s">
        <v>19</v>
      </c>
      <c r="B27" s="32" t="s">
        <v>176</v>
      </c>
      <c r="C27" s="33">
        <v>200566</v>
      </c>
      <c r="D27" s="33">
        <v>171433</v>
      </c>
      <c r="E27" s="62">
        <f t="shared" si="2"/>
        <v>29133</v>
      </c>
      <c r="F27" s="34">
        <f t="shared" si="3"/>
        <v>0.14525393137421097</v>
      </c>
    </row>
    <row r="28" spans="1:6" s="107" customFormat="1">
      <c r="A28" s="31" t="s">
        <v>136</v>
      </c>
      <c r="B28" s="1" t="s">
        <v>159</v>
      </c>
      <c r="C28" s="33">
        <v>3650</v>
      </c>
      <c r="D28" s="33">
        <v>2920</v>
      </c>
      <c r="E28" s="62">
        <f t="shared" si="2"/>
        <v>730</v>
      </c>
      <c r="F28" s="34">
        <f t="shared" si="3"/>
        <v>0.2</v>
      </c>
    </row>
    <row r="29" spans="1:6" s="107" customFormat="1">
      <c r="A29" s="31" t="s">
        <v>137</v>
      </c>
      <c r="B29" s="32" t="s">
        <v>176</v>
      </c>
      <c r="C29" s="33">
        <v>14818</v>
      </c>
      <c r="D29" s="33">
        <v>12158</v>
      </c>
      <c r="E29" s="62">
        <f t="shared" si="2"/>
        <v>2660</v>
      </c>
      <c r="F29" s="34">
        <f t="shared" si="3"/>
        <v>0.17951140504791468</v>
      </c>
    </row>
    <row r="30" spans="1:6" s="107" customFormat="1">
      <c r="A30" s="31" t="s">
        <v>138</v>
      </c>
      <c r="B30" s="32" t="s">
        <v>176</v>
      </c>
      <c r="C30" s="33">
        <v>8656</v>
      </c>
      <c r="D30" s="33">
        <v>5308</v>
      </c>
      <c r="E30" s="62">
        <f t="shared" si="2"/>
        <v>3348</v>
      </c>
      <c r="F30" s="34">
        <f t="shared" si="3"/>
        <v>0.3867837338262477</v>
      </c>
    </row>
    <row r="31" spans="1:6" s="107" customFormat="1" ht="15.75" thickBot="1">
      <c r="A31" s="47" t="s">
        <v>139</v>
      </c>
      <c r="B31" s="36" t="s">
        <v>159</v>
      </c>
      <c r="C31" s="37">
        <v>6323</v>
      </c>
      <c r="D31" s="37">
        <v>4559</v>
      </c>
      <c r="E31" s="92">
        <f t="shared" si="2"/>
        <v>1764</v>
      </c>
      <c r="F31" s="38">
        <f t="shared" si="3"/>
        <v>0.27898149612525702</v>
      </c>
    </row>
    <row r="32" spans="1:6" s="107" customFormat="1" ht="15.75" thickBot="1">
      <c r="A32" s="49" t="s">
        <v>46</v>
      </c>
      <c r="B32" s="40"/>
      <c r="C32" s="41">
        <f>SUM(C21:C31)</f>
        <v>350641.56666666665</v>
      </c>
      <c r="D32" s="41">
        <f>SUM(D21:D31)</f>
        <v>286265.52222222224</v>
      </c>
      <c r="E32" s="41">
        <f>C32-D32</f>
        <v>64376.044444444415</v>
      </c>
      <c r="F32" s="97">
        <f t="shared" si="3"/>
        <v>0.18359501714650606</v>
      </c>
    </row>
    <row r="33" spans="1:6" s="107" customFormat="1">
      <c r="A33" s="82" t="s">
        <v>184</v>
      </c>
    </row>
    <row r="34" spans="1:6" s="107" customFormat="1">
      <c r="A34" s="109"/>
    </row>
    <row r="35" spans="1:6" ht="15.75" thickBot="1">
      <c r="A35" s="21" t="s">
        <v>19</v>
      </c>
      <c r="B35" s="21">
        <v>2016</v>
      </c>
    </row>
    <row r="36" spans="1:6" ht="15.75" thickBot="1">
      <c r="A36" s="23" t="s">
        <v>31</v>
      </c>
      <c r="B36" s="24" t="s">
        <v>55</v>
      </c>
      <c r="C36" s="25" t="s">
        <v>32</v>
      </c>
      <c r="D36" s="25" t="s">
        <v>33</v>
      </c>
      <c r="E36" s="26" t="s">
        <v>34</v>
      </c>
      <c r="F36" s="26" t="s">
        <v>35</v>
      </c>
    </row>
    <row r="37" spans="1:6">
      <c r="A37" s="84" t="s">
        <v>130</v>
      </c>
      <c r="B37" s="85" t="s">
        <v>56</v>
      </c>
      <c r="C37" s="86">
        <v>10093</v>
      </c>
      <c r="D37" s="86">
        <v>8222</v>
      </c>
      <c r="E37" s="87">
        <f>C37-D37</f>
        <v>1871</v>
      </c>
      <c r="F37" s="88">
        <f>IFERROR(E37/C37,"")</f>
        <v>0.18537600317051423</v>
      </c>
    </row>
    <row r="38" spans="1:6">
      <c r="A38" s="31" t="s">
        <v>131</v>
      </c>
      <c r="B38" s="66" t="s">
        <v>159</v>
      </c>
      <c r="C38" s="33">
        <v>6901.6666666666661</v>
      </c>
      <c r="D38" s="33">
        <v>4972.2222222222217</v>
      </c>
      <c r="E38" s="62">
        <f>C38-D38</f>
        <v>1929.4444444444443</v>
      </c>
      <c r="F38" s="34">
        <f>IFERROR(E38/C38,"")</f>
        <v>0.27956210255171859</v>
      </c>
    </row>
    <row r="39" spans="1:6">
      <c r="A39" s="31" t="s">
        <v>132</v>
      </c>
      <c r="B39" s="66" t="s">
        <v>56</v>
      </c>
      <c r="C39" s="33">
        <v>32230</v>
      </c>
      <c r="D39" s="33">
        <v>24683</v>
      </c>
      <c r="E39" s="62">
        <f>C39-D39</f>
        <v>7547</v>
      </c>
      <c r="F39" s="34">
        <f>IFERROR(E39/C39,"")</f>
        <v>0.23416071982624884</v>
      </c>
    </row>
    <row r="40" spans="1:6">
      <c r="A40" s="31" t="s">
        <v>133</v>
      </c>
      <c r="B40" s="66" t="s">
        <v>56</v>
      </c>
      <c r="C40" s="33">
        <v>47495</v>
      </c>
      <c r="D40" s="33">
        <v>38442</v>
      </c>
      <c r="E40" s="62">
        <f t="shared" ref="E40:E47" si="4">C40-D40</f>
        <v>9053</v>
      </c>
      <c r="F40" s="34">
        <f t="shared" ref="F40:F48" si="5">IFERROR(E40/C40,"")</f>
        <v>0.19060953784608906</v>
      </c>
    </row>
    <row r="41" spans="1:6">
      <c r="A41" s="31" t="s">
        <v>134</v>
      </c>
      <c r="B41" s="32" t="s">
        <v>159</v>
      </c>
      <c r="C41" s="33">
        <v>8032.9</v>
      </c>
      <c r="D41" s="33">
        <v>5073.3</v>
      </c>
      <c r="E41" s="62">
        <f t="shared" si="4"/>
        <v>2959.5999999999995</v>
      </c>
      <c r="F41" s="34">
        <f t="shared" si="5"/>
        <v>0.3684348118363231</v>
      </c>
    </row>
    <row r="42" spans="1:6">
      <c r="A42" s="31" t="s">
        <v>135</v>
      </c>
      <c r="B42" s="32" t="s">
        <v>159</v>
      </c>
      <c r="C42" s="33">
        <v>12010</v>
      </c>
      <c r="D42" s="33">
        <v>9256</v>
      </c>
      <c r="E42" s="62">
        <f t="shared" si="4"/>
        <v>2754</v>
      </c>
      <c r="F42" s="34">
        <f t="shared" si="5"/>
        <v>0.22930890924229808</v>
      </c>
    </row>
    <row r="43" spans="1:6">
      <c r="A43" s="31" t="s">
        <v>19</v>
      </c>
      <c r="B43" s="32" t="s">
        <v>56</v>
      </c>
      <c r="C43" s="33">
        <v>202993</v>
      </c>
      <c r="D43" s="33">
        <v>175199</v>
      </c>
      <c r="E43" s="62">
        <f t="shared" si="4"/>
        <v>27794</v>
      </c>
      <c r="F43" s="34">
        <f t="shared" si="5"/>
        <v>0.13692097757065513</v>
      </c>
    </row>
    <row r="44" spans="1:6">
      <c r="A44" s="31" t="s">
        <v>136</v>
      </c>
      <c r="B44" s="1" t="s">
        <v>159</v>
      </c>
      <c r="C44" s="33">
        <v>3650</v>
      </c>
      <c r="D44" s="33">
        <v>2920</v>
      </c>
      <c r="E44" s="62">
        <f t="shared" si="4"/>
        <v>730</v>
      </c>
      <c r="F44" s="34">
        <f t="shared" si="5"/>
        <v>0.2</v>
      </c>
    </row>
    <row r="45" spans="1:6">
      <c r="A45" s="31" t="s">
        <v>137</v>
      </c>
      <c r="B45" s="32" t="s">
        <v>56</v>
      </c>
      <c r="C45" s="33">
        <v>14753</v>
      </c>
      <c r="D45" s="33">
        <v>12311</v>
      </c>
      <c r="E45" s="62">
        <f t="shared" si="4"/>
        <v>2442</v>
      </c>
      <c r="F45" s="34">
        <f t="shared" si="5"/>
        <v>0.16552565579882059</v>
      </c>
    </row>
    <row r="46" spans="1:6">
      <c r="A46" s="31" t="s">
        <v>138</v>
      </c>
      <c r="B46" s="32" t="s">
        <v>59</v>
      </c>
      <c r="C46" s="33">
        <v>8551</v>
      </c>
      <c r="D46" s="33">
        <v>5396.38</v>
      </c>
      <c r="E46" s="62">
        <f t="shared" si="4"/>
        <v>3154.62</v>
      </c>
      <c r="F46" s="34">
        <f t="shared" si="5"/>
        <v>0.36891825517483334</v>
      </c>
    </row>
    <row r="47" spans="1:6" ht="15.75" thickBot="1">
      <c r="A47" s="47" t="s">
        <v>139</v>
      </c>
      <c r="B47" s="36" t="s">
        <v>159</v>
      </c>
      <c r="C47" s="37">
        <v>6323</v>
      </c>
      <c r="D47" s="37">
        <v>4559</v>
      </c>
      <c r="E47" s="92">
        <f t="shared" si="4"/>
        <v>1764</v>
      </c>
      <c r="F47" s="38">
        <f t="shared" si="5"/>
        <v>0.27898149612525702</v>
      </c>
    </row>
    <row r="48" spans="1:6" ht="15.75" thickBot="1">
      <c r="A48" s="49" t="s">
        <v>46</v>
      </c>
      <c r="B48" s="40"/>
      <c r="C48" s="41">
        <f>SUM(C37:C47)</f>
        <v>353032.56666666665</v>
      </c>
      <c r="D48" s="41">
        <f>SUM(D37:D47)</f>
        <v>291033.90222222224</v>
      </c>
      <c r="E48" s="41">
        <f>C48-D48</f>
        <v>61998.66444444441</v>
      </c>
      <c r="F48" s="97">
        <f t="shared" si="5"/>
        <v>0.17561740841598772</v>
      </c>
    </row>
    <row r="51" spans="1:5" ht="15.75" thickBot="1">
      <c r="A51" s="21" t="s">
        <v>19</v>
      </c>
      <c r="B51" s="21">
        <v>2014</v>
      </c>
    </row>
    <row r="52" spans="1:5" ht="15.75" thickBot="1">
      <c r="A52" s="23" t="s">
        <v>31</v>
      </c>
      <c r="B52" s="24" t="s">
        <v>32</v>
      </c>
      <c r="C52" s="25" t="s">
        <v>33</v>
      </c>
      <c r="D52" s="25" t="s">
        <v>34</v>
      </c>
      <c r="E52" s="26" t="s">
        <v>35</v>
      </c>
    </row>
    <row r="53" spans="1:5">
      <c r="A53" s="27" t="s">
        <v>130</v>
      </c>
      <c r="B53" s="59">
        <v>9435</v>
      </c>
      <c r="C53" s="60">
        <v>7843</v>
      </c>
      <c r="D53" s="60">
        <f>B53-C53</f>
        <v>1592</v>
      </c>
      <c r="E53" s="30">
        <f>D53/B53</f>
        <v>0.16873343932167462</v>
      </c>
    </row>
    <row r="54" spans="1:5">
      <c r="A54" s="31" t="s">
        <v>131</v>
      </c>
      <c r="B54" s="61">
        <v>6901.6666666666661</v>
      </c>
      <c r="C54" s="62">
        <v>4972.2222222222217</v>
      </c>
      <c r="D54" s="62">
        <f>B54-C54</f>
        <v>1929.4444444444443</v>
      </c>
      <c r="E54" s="34">
        <f>D54/B54</f>
        <v>0.27956210255171859</v>
      </c>
    </row>
    <row r="55" spans="1:5">
      <c r="A55" s="31" t="s">
        <v>132</v>
      </c>
      <c r="B55" s="61">
        <v>30545</v>
      </c>
      <c r="C55" s="62">
        <v>23079.000000000004</v>
      </c>
      <c r="D55" s="62">
        <f>B55-C55</f>
        <v>7465.9999999999964</v>
      </c>
      <c r="E55" s="34">
        <f>D55/B55</f>
        <v>0.24442625634310022</v>
      </c>
    </row>
    <row r="56" spans="1:5">
      <c r="A56" s="31" t="s">
        <v>133</v>
      </c>
      <c r="B56" s="61">
        <v>43545</v>
      </c>
      <c r="C56" s="62">
        <v>35271</v>
      </c>
      <c r="D56" s="62">
        <f>B56-C56</f>
        <v>8274</v>
      </c>
      <c r="E56" s="34">
        <f>D56/B56</f>
        <v>0.19001033413709956</v>
      </c>
    </row>
    <row r="57" spans="1:5">
      <c r="A57" s="31" t="s">
        <v>134</v>
      </c>
      <c r="B57" s="61">
        <v>8032.9</v>
      </c>
      <c r="C57" s="62">
        <v>5073.3</v>
      </c>
      <c r="D57" s="62">
        <f t="shared" ref="D57:D63" si="6">B57-C57</f>
        <v>2959.5999999999995</v>
      </c>
      <c r="E57" s="34">
        <f t="shared" ref="E57:E63" si="7">D57/B57</f>
        <v>0.3684348118363231</v>
      </c>
    </row>
    <row r="58" spans="1:5">
      <c r="A58" s="31" t="s">
        <v>135</v>
      </c>
      <c r="B58" s="61">
        <v>12010</v>
      </c>
      <c r="C58" s="62">
        <v>9256</v>
      </c>
      <c r="D58" s="62">
        <f t="shared" si="6"/>
        <v>2754</v>
      </c>
      <c r="E58" s="34">
        <f t="shared" si="7"/>
        <v>0.22930890924229808</v>
      </c>
    </row>
    <row r="59" spans="1:5">
      <c r="A59" s="31" t="s">
        <v>19</v>
      </c>
      <c r="B59" s="61">
        <v>195409</v>
      </c>
      <c r="C59" s="62">
        <v>166448</v>
      </c>
      <c r="D59" s="62">
        <f>B59-C59</f>
        <v>28961</v>
      </c>
      <c r="E59" s="34">
        <f t="shared" si="7"/>
        <v>0.14820709383907599</v>
      </c>
    </row>
    <row r="60" spans="1:5">
      <c r="A60" s="31" t="s">
        <v>136</v>
      </c>
      <c r="B60" s="61">
        <v>3650</v>
      </c>
      <c r="C60" s="62">
        <v>2920</v>
      </c>
      <c r="D60" s="62">
        <f>B60-C60</f>
        <v>730</v>
      </c>
      <c r="E60" s="34">
        <v>0.22700000000000001</v>
      </c>
    </row>
    <row r="61" spans="1:5">
      <c r="A61" s="31" t="s">
        <v>137</v>
      </c>
      <c r="B61" s="61">
        <v>13950.6</v>
      </c>
      <c r="C61" s="62">
        <v>11137.3</v>
      </c>
      <c r="D61" s="62">
        <f t="shared" si="6"/>
        <v>2813.3000000000011</v>
      </c>
      <c r="E61" s="34">
        <f t="shared" si="7"/>
        <v>0.20166157727983033</v>
      </c>
    </row>
    <row r="62" spans="1:5">
      <c r="A62" s="31" t="s">
        <v>138</v>
      </c>
      <c r="B62" s="61">
        <v>7763.9999999999991</v>
      </c>
      <c r="C62" s="62">
        <v>4660.9999999999991</v>
      </c>
      <c r="D62" s="62">
        <f t="shared" si="6"/>
        <v>3103</v>
      </c>
      <c r="E62" s="34">
        <f t="shared" si="7"/>
        <v>0.39966512107161262</v>
      </c>
    </row>
    <row r="63" spans="1:5" ht="15.75" thickBot="1">
      <c r="A63" s="35" t="s">
        <v>139</v>
      </c>
      <c r="B63" s="57">
        <v>6323</v>
      </c>
      <c r="C63" s="55">
        <v>4559</v>
      </c>
      <c r="D63" s="55">
        <f t="shared" si="6"/>
        <v>1764</v>
      </c>
      <c r="E63" s="90">
        <f t="shared" si="7"/>
        <v>0.27898149612525702</v>
      </c>
    </row>
    <row r="64" spans="1:5" ht="15.75" thickBot="1">
      <c r="A64" s="49" t="s">
        <v>46</v>
      </c>
      <c r="B64" s="46">
        <f>SUM(B53:B63)</f>
        <v>337566.16666666663</v>
      </c>
      <c r="C64" s="41">
        <f>SUM(C53:C63)</f>
        <v>275219.82222222222</v>
      </c>
      <c r="D64" s="41">
        <f>SUM(D53:D63)</f>
        <v>62346.344444444447</v>
      </c>
      <c r="E64" s="97">
        <f>D64/B64</f>
        <v>0.18469370037906974</v>
      </c>
    </row>
    <row r="67" spans="1:9" ht="15.75" thickBot="1">
      <c r="A67" s="21" t="s">
        <v>19</v>
      </c>
      <c r="B67" s="21">
        <v>2010</v>
      </c>
      <c r="C67" s="21" t="s">
        <v>101</v>
      </c>
    </row>
    <row r="68" spans="1:9" ht="15.75" thickBot="1">
      <c r="A68" s="23" t="s">
        <v>31</v>
      </c>
      <c r="B68" s="24" t="s">
        <v>32</v>
      </c>
      <c r="C68" s="25" t="s">
        <v>33</v>
      </c>
      <c r="D68" s="25" t="s">
        <v>34</v>
      </c>
      <c r="E68" s="26" t="s">
        <v>35</v>
      </c>
      <c r="F68" s="73" t="s">
        <v>61</v>
      </c>
    </row>
    <row r="69" spans="1:9">
      <c r="A69" s="27" t="s">
        <v>130</v>
      </c>
      <c r="B69" s="59">
        <v>12148</v>
      </c>
      <c r="C69" s="60">
        <v>9825</v>
      </c>
      <c r="D69" s="60">
        <f>B69-C69</f>
        <v>2323</v>
      </c>
      <c r="E69" s="30">
        <f>D69/B69</f>
        <v>0.19122489298649983</v>
      </c>
      <c r="F69" s="74">
        <v>0.191</v>
      </c>
    </row>
    <row r="70" spans="1:9">
      <c r="A70" s="31" t="s">
        <v>131</v>
      </c>
      <c r="B70" s="61">
        <v>28546</v>
      </c>
      <c r="C70" s="62">
        <v>20546</v>
      </c>
      <c r="D70" s="62">
        <f>B70-C70</f>
        <v>8000</v>
      </c>
      <c r="E70" s="34">
        <f>D70/B70</f>
        <v>0.28024942198556718</v>
      </c>
      <c r="F70" s="75"/>
    </row>
    <row r="71" spans="1:9">
      <c r="A71" s="31" t="s">
        <v>132</v>
      </c>
      <c r="B71" s="61">
        <v>34610</v>
      </c>
      <c r="C71" s="62">
        <v>26854</v>
      </c>
      <c r="D71" s="62">
        <f>B71-C71</f>
        <v>7756</v>
      </c>
      <c r="E71" s="34">
        <f>D71/B71</f>
        <v>0.22409708176827506</v>
      </c>
      <c r="F71" s="75"/>
    </row>
    <row r="72" spans="1:9">
      <c r="A72" s="31" t="s">
        <v>133</v>
      </c>
      <c r="B72" s="61">
        <v>52921</v>
      </c>
      <c r="C72" s="62">
        <v>42534</v>
      </c>
      <c r="D72" s="62">
        <f>B72-C72</f>
        <v>10387</v>
      </c>
      <c r="E72" s="34">
        <f>D72/B72</f>
        <v>0.19627369097333761</v>
      </c>
      <c r="F72" s="75">
        <v>0.19600000000000001</v>
      </c>
      <c r="G72" s="2"/>
      <c r="I72" s="72"/>
    </row>
    <row r="73" spans="1:9">
      <c r="A73" s="31" t="s">
        <v>134</v>
      </c>
      <c r="B73" s="61">
        <v>9038</v>
      </c>
      <c r="C73" s="62">
        <v>6047</v>
      </c>
      <c r="D73" s="62">
        <f t="shared" ref="D73:D74" si="8">B73-C73</f>
        <v>2991</v>
      </c>
      <c r="E73" s="34">
        <f t="shared" ref="E73:E75" si="9">D73/B73</f>
        <v>0.33093604779818542</v>
      </c>
      <c r="F73" s="75">
        <v>0.33100000000000002</v>
      </c>
      <c r="G73" s="2"/>
      <c r="I73" s="72"/>
    </row>
    <row r="74" spans="1:9">
      <c r="A74" s="31" t="s">
        <v>135</v>
      </c>
      <c r="B74" s="61">
        <v>15836</v>
      </c>
      <c r="C74" s="98">
        <f>B74*0.797</f>
        <v>12621.292000000001</v>
      </c>
      <c r="D74" s="62">
        <f t="shared" si="8"/>
        <v>3214.7079999999987</v>
      </c>
      <c r="E74" s="34">
        <f t="shared" si="9"/>
        <v>0.20299999999999993</v>
      </c>
      <c r="F74" s="75">
        <v>0.20300000000000001</v>
      </c>
      <c r="G74" s="2"/>
      <c r="H74" s="99" t="s">
        <v>86</v>
      </c>
      <c r="I74" s="72" t="s">
        <v>103</v>
      </c>
    </row>
    <row r="75" spans="1:9">
      <c r="A75" s="31" t="s">
        <v>19</v>
      </c>
      <c r="B75" s="61">
        <v>196114</v>
      </c>
      <c r="C75" s="98">
        <f>B75*0.789</f>
        <v>154733.946</v>
      </c>
      <c r="D75" s="62">
        <f>B75-C75</f>
        <v>41380.054000000004</v>
      </c>
      <c r="E75" s="34">
        <f t="shared" si="9"/>
        <v>0.21100000000000002</v>
      </c>
      <c r="F75" s="75"/>
      <c r="G75" s="2"/>
      <c r="H75" s="99" t="s">
        <v>86</v>
      </c>
      <c r="I75" s="72" t="s">
        <v>103</v>
      </c>
    </row>
    <row r="76" spans="1:9">
      <c r="A76" s="31" t="s">
        <v>136</v>
      </c>
      <c r="B76" s="61">
        <v>3557.3</v>
      </c>
      <c r="C76" s="62">
        <v>2915.8</v>
      </c>
      <c r="D76" s="62">
        <f>B76-C76</f>
        <v>641.5</v>
      </c>
      <c r="E76" s="34">
        <v>0.22700000000000001</v>
      </c>
      <c r="F76" s="75">
        <v>0.28000000000000003</v>
      </c>
      <c r="G76" s="2"/>
    </row>
    <row r="77" spans="1:9">
      <c r="A77" s="31" t="s">
        <v>137</v>
      </c>
      <c r="B77" s="61">
        <v>10838</v>
      </c>
      <c r="C77" s="62">
        <v>8950</v>
      </c>
      <c r="D77" s="62">
        <f t="shared" ref="D77:D79" si="10">B77-C77</f>
        <v>1888</v>
      </c>
      <c r="E77" s="34">
        <f t="shared" ref="E77:E79" si="11">D77/B77</f>
        <v>0.17420188226610075</v>
      </c>
      <c r="F77" s="75"/>
      <c r="G77" s="2"/>
      <c r="I77" s="72"/>
    </row>
    <row r="78" spans="1:9">
      <c r="A78" s="31" t="s">
        <v>138</v>
      </c>
      <c r="B78" s="61">
        <v>9133</v>
      </c>
      <c r="C78" s="62">
        <v>5843</v>
      </c>
      <c r="D78" s="62">
        <f t="shared" si="10"/>
        <v>3290</v>
      </c>
      <c r="E78" s="34">
        <f t="shared" si="11"/>
        <v>0.360232125260046</v>
      </c>
      <c r="F78" s="75">
        <v>0.36</v>
      </c>
      <c r="G78" s="2"/>
      <c r="I78" s="72"/>
    </row>
    <row r="79" spans="1:9" ht="15.75" thickBot="1">
      <c r="A79" s="35" t="s">
        <v>139</v>
      </c>
      <c r="B79" s="57">
        <v>7673</v>
      </c>
      <c r="C79" s="55">
        <v>5531</v>
      </c>
      <c r="D79" s="55">
        <f t="shared" si="10"/>
        <v>2142</v>
      </c>
      <c r="E79" s="90">
        <f t="shared" si="11"/>
        <v>0.27916069334028409</v>
      </c>
      <c r="F79" s="91"/>
      <c r="G79" s="2"/>
      <c r="I79" s="72"/>
    </row>
    <row r="80" spans="1:9" ht="15.75" thickBot="1">
      <c r="A80" s="49" t="s">
        <v>46</v>
      </c>
      <c r="B80" s="46">
        <f>SUM(B69:B79)</f>
        <v>380414.3</v>
      </c>
      <c r="C80" s="41">
        <f>SUM(C69:C79)</f>
        <v>296401.038</v>
      </c>
      <c r="D80" s="41">
        <f>SUM(D69:D79)</f>
        <v>84013.262000000002</v>
      </c>
      <c r="E80" s="97">
        <f>D80/B80</f>
        <v>0.22084675050333283</v>
      </c>
    </row>
    <row r="96" s="4" customFormat="1"/>
  </sheetData>
  <sortState xmlns:xlrd2="http://schemas.microsoft.com/office/spreadsheetml/2017/richdata2" ref="A38:A47">
    <sortCondition ref="A3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BEDD-95F0-4AD6-B42C-A761FCB317D9}">
  <dimension ref="A1:BB71"/>
  <sheetViews>
    <sheetView workbookViewId="0">
      <selection activeCell="F12" sqref="F12"/>
    </sheetView>
  </sheetViews>
  <sheetFormatPr defaultColWidth="9.140625" defaultRowHeight="15"/>
  <cols>
    <col min="1" max="1" width="24.5703125" style="21" bestFit="1" customWidth="1"/>
    <col min="2" max="2" width="34.28515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23</v>
      </c>
      <c r="B3" s="107">
        <v>2020</v>
      </c>
    </row>
    <row r="4" spans="1:54" s="107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7" customFormat="1">
      <c r="A5" s="84" t="s">
        <v>140</v>
      </c>
      <c r="B5" s="85" t="s">
        <v>175</v>
      </c>
      <c r="C5" s="86">
        <v>51000</v>
      </c>
      <c r="D5" s="86">
        <v>37000</v>
      </c>
      <c r="E5" s="87">
        <f>C5-D5</f>
        <v>14000</v>
      </c>
      <c r="F5" s="88">
        <f>IFERROR(E5/C5,"")</f>
        <v>0.27450980392156865</v>
      </c>
    </row>
    <row r="6" spans="1:54" s="107" customFormat="1">
      <c r="A6" s="31" t="s">
        <v>141</v>
      </c>
      <c r="B6" s="66" t="s">
        <v>181</v>
      </c>
      <c r="C6" s="22"/>
      <c r="D6" s="33"/>
      <c r="E6" s="62">
        <f t="shared" ref="E6:E11" si="0">C6-D6</f>
        <v>0</v>
      </c>
      <c r="F6" s="34" t="str">
        <f t="shared" ref="F6:F12" si="1">IFERROR(E6/C6,"")</f>
        <v/>
      </c>
    </row>
    <row r="7" spans="1:54" s="107" customFormat="1">
      <c r="A7" s="31" t="s">
        <v>142</v>
      </c>
      <c r="B7" s="66" t="s">
        <v>181</v>
      </c>
      <c r="C7" s="33"/>
      <c r="D7" s="33"/>
      <c r="E7" s="62">
        <f t="shared" si="0"/>
        <v>0</v>
      </c>
      <c r="F7" s="34" t="str">
        <f t="shared" si="1"/>
        <v/>
      </c>
    </row>
    <row r="8" spans="1:54" s="107" customFormat="1">
      <c r="A8" s="31" t="s">
        <v>143</v>
      </c>
      <c r="B8" s="32" t="s">
        <v>178</v>
      </c>
      <c r="C8" s="33">
        <v>28955</v>
      </c>
      <c r="D8" s="33">
        <v>25929</v>
      </c>
      <c r="E8" s="62">
        <f t="shared" si="0"/>
        <v>3026</v>
      </c>
      <c r="F8" s="34">
        <f t="shared" si="1"/>
        <v>0.10450699361077534</v>
      </c>
    </row>
    <row r="9" spans="1:54" s="107" customFormat="1">
      <c r="A9" s="31" t="s">
        <v>144</v>
      </c>
      <c r="B9" s="32" t="s">
        <v>181</v>
      </c>
      <c r="C9" s="33"/>
      <c r="D9" s="33"/>
      <c r="E9" s="62">
        <f t="shared" si="0"/>
        <v>0</v>
      </c>
      <c r="F9" s="34" t="str">
        <f t="shared" si="1"/>
        <v/>
      </c>
    </row>
    <row r="10" spans="1:54" s="107" customFormat="1">
      <c r="A10" s="31" t="s">
        <v>145</v>
      </c>
      <c r="B10" s="32" t="s">
        <v>235</v>
      </c>
      <c r="C10" s="33">
        <f>'Brændselsfordeling Nørager'!D8*'Brændselsfordeling Nørager'!D14</f>
        <v>29144.104000000007</v>
      </c>
      <c r="D10" s="33">
        <v>27618</v>
      </c>
      <c r="E10" s="62">
        <f t="shared" si="0"/>
        <v>1526.1040000000066</v>
      </c>
      <c r="F10" s="34">
        <f t="shared" si="1"/>
        <v>5.2364073364547639E-2</v>
      </c>
    </row>
    <row r="11" spans="1:54" s="107" customFormat="1" ht="15.75" thickBot="1">
      <c r="A11" s="35" t="s">
        <v>146</v>
      </c>
      <c r="B11" s="57" t="s">
        <v>196</v>
      </c>
      <c r="C11" s="55">
        <f>133743*'Brændselsfordeling Suldrup-Aars'!D12</f>
        <v>113734.69194970609</v>
      </c>
      <c r="D11" s="55">
        <f>'Brændselsfordeling Suldrup-Aars'!D6</f>
        <v>93741</v>
      </c>
      <c r="E11" s="89">
        <f t="shared" si="0"/>
        <v>19993.691949706088</v>
      </c>
      <c r="F11" s="56">
        <f t="shared" si="1"/>
        <v>0.17579237791884444</v>
      </c>
    </row>
    <row r="12" spans="1:54" s="107" customFormat="1" ht="15.75" thickBot="1">
      <c r="A12" s="39" t="s">
        <v>46</v>
      </c>
      <c r="B12" s="52"/>
      <c r="C12" s="53">
        <f>SUM(C5:C11)</f>
        <v>222833.79594970611</v>
      </c>
      <c r="D12" s="53">
        <f>SUM(D5:D11)</f>
        <v>184288</v>
      </c>
      <c r="E12" s="53">
        <f>C12-D12</f>
        <v>38545.795949706109</v>
      </c>
      <c r="F12" s="96">
        <f t="shared" si="1"/>
        <v>0.17298002659527439</v>
      </c>
    </row>
    <row r="13" spans="1:54" s="107" customFormat="1">
      <c r="A13" s="107" t="s">
        <v>233</v>
      </c>
    </row>
    <row r="14" spans="1:54" s="107" customFormat="1">
      <c r="A14" s="107" t="s">
        <v>232</v>
      </c>
    </row>
    <row r="15" spans="1:54" s="107" customFormat="1"/>
    <row r="16" spans="1:54" s="107" customFormat="1" ht="15.75" thickBot="1">
      <c r="A16" s="107" t="s">
        <v>23</v>
      </c>
      <c r="B16" s="107">
        <v>2018</v>
      </c>
    </row>
    <row r="17" spans="1:6" s="107" customFormat="1" ht="15.75" thickBot="1">
      <c r="A17" s="23" t="s">
        <v>31</v>
      </c>
      <c r="B17" s="24" t="s">
        <v>55</v>
      </c>
      <c r="C17" s="25" t="s">
        <v>32</v>
      </c>
      <c r="D17" s="25" t="s">
        <v>33</v>
      </c>
      <c r="E17" s="26" t="s">
        <v>34</v>
      </c>
      <c r="F17" s="26" t="s">
        <v>35</v>
      </c>
    </row>
    <row r="18" spans="1:6" s="107" customFormat="1">
      <c r="A18" s="84" t="s">
        <v>140</v>
      </c>
      <c r="B18" s="85" t="s">
        <v>175</v>
      </c>
      <c r="C18" s="86">
        <v>51000</v>
      </c>
      <c r="D18" s="86">
        <v>37000</v>
      </c>
      <c r="E18" s="87">
        <f>C18-D18</f>
        <v>14000</v>
      </c>
      <c r="F18" s="88">
        <f>IFERROR(E18/C18,"")</f>
        <v>0.27450980392156865</v>
      </c>
    </row>
    <row r="19" spans="1:6" s="107" customFormat="1">
      <c r="A19" s="31" t="s">
        <v>141</v>
      </c>
      <c r="B19" s="66" t="s">
        <v>181</v>
      </c>
      <c r="C19" s="22"/>
      <c r="D19" s="33"/>
      <c r="E19" s="62">
        <f t="shared" ref="E19:E24" si="2">C19-D19</f>
        <v>0</v>
      </c>
      <c r="F19" s="34" t="str">
        <f t="shared" ref="F19:F25" si="3">IFERROR(E19/C19,"")</f>
        <v/>
      </c>
    </row>
    <row r="20" spans="1:6" s="107" customFormat="1">
      <c r="A20" s="31" t="s">
        <v>142</v>
      </c>
      <c r="B20" s="66" t="s">
        <v>181</v>
      </c>
      <c r="C20" s="33"/>
      <c r="D20" s="33"/>
      <c r="E20" s="62">
        <f t="shared" si="2"/>
        <v>0</v>
      </c>
      <c r="F20" s="34" t="str">
        <f t="shared" si="3"/>
        <v/>
      </c>
    </row>
    <row r="21" spans="1:6" s="107" customFormat="1">
      <c r="A21" s="31" t="s">
        <v>143</v>
      </c>
      <c r="B21" s="32" t="s">
        <v>178</v>
      </c>
      <c r="C21" s="33">
        <v>28955</v>
      </c>
      <c r="D21" s="33">
        <v>25929</v>
      </c>
      <c r="E21" s="62">
        <f t="shared" si="2"/>
        <v>3026</v>
      </c>
      <c r="F21" s="34">
        <f t="shared" si="3"/>
        <v>0.10450699361077534</v>
      </c>
    </row>
    <row r="22" spans="1:6" s="107" customFormat="1">
      <c r="A22" s="31" t="s">
        <v>144</v>
      </c>
      <c r="B22" s="32" t="s">
        <v>181</v>
      </c>
      <c r="C22" s="33"/>
      <c r="D22" s="33"/>
      <c r="E22" s="62">
        <f t="shared" si="2"/>
        <v>0</v>
      </c>
      <c r="F22" s="34" t="str">
        <f t="shared" si="3"/>
        <v/>
      </c>
    </row>
    <row r="23" spans="1:6" s="107" customFormat="1">
      <c r="A23" s="31" t="s">
        <v>145</v>
      </c>
      <c r="B23" s="32" t="s">
        <v>173</v>
      </c>
      <c r="C23" s="33">
        <f>(36493+9984)*'Brændselsfordeling Nørager'!C14</f>
        <v>36520.422197416156</v>
      </c>
      <c r="D23" s="33">
        <f>34010*'Brændselsfordeling Nørager'!C14</f>
        <v>26724.176666611947</v>
      </c>
      <c r="E23" s="62">
        <f t="shared" si="2"/>
        <v>9796.2455308042081</v>
      </c>
      <c r="F23" s="34">
        <f t="shared" si="3"/>
        <v>0.26824020483249778</v>
      </c>
    </row>
    <row r="24" spans="1:6" s="107" customFormat="1" ht="15.75" thickBot="1">
      <c r="A24" s="35" t="s">
        <v>146</v>
      </c>
      <c r="B24" s="57" t="s">
        <v>175</v>
      </c>
      <c r="C24" s="55">
        <f>135524*'Brændselsfordeling Suldrup-Aars'!C12</f>
        <v>112427.82249303622</v>
      </c>
      <c r="D24" s="55">
        <f>103125*'Brændselsfordeling Suldrup-Aars'!C12</f>
        <v>85550.30248955432</v>
      </c>
      <c r="E24" s="89">
        <f t="shared" si="2"/>
        <v>26877.520003481899</v>
      </c>
      <c r="F24" s="56">
        <f t="shared" si="3"/>
        <v>0.23906466751276528</v>
      </c>
    </row>
    <row r="25" spans="1:6" s="107" customFormat="1" ht="15.75" thickBot="1">
      <c r="A25" s="39" t="s">
        <v>46</v>
      </c>
      <c r="B25" s="52"/>
      <c r="C25" s="53">
        <f>SUM(C18:C24)</f>
        <v>228903.24469045238</v>
      </c>
      <c r="D25" s="53">
        <f>SUM(D18:D24)</f>
        <v>175203.47915616626</v>
      </c>
      <c r="E25" s="53">
        <f>C25-D25</f>
        <v>53699.765534286125</v>
      </c>
      <c r="F25" s="100">
        <f t="shared" si="3"/>
        <v>0.23459591237732227</v>
      </c>
    </row>
    <row r="26" spans="1:6" s="107" customFormat="1">
      <c r="A26" s="107" t="s">
        <v>194</v>
      </c>
    </row>
    <row r="27" spans="1:6" s="107" customFormat="1">
      <c r="A27" s="107" t="s">
        <v>195</v>
      </c>
    </row>
    <row r="28" spans="1:6" s="107" customFormat="1"/>
    <row r="29" spans="1:6" ht="15.75" thickBot="1">
      <c r="A29" s="21" t="s">
        <v>23</v>
      </c>
      <c r="B29" s="21">
        <v>2016</v>
      </c>
    </row>
    <row r="30" spans="1:6" ht="15.75" thickBot="1">
      <c r="A30" s="23" t="s">
        <v>31</v>
      </c>
      <c r="B30" s="24" t="s">
        <v>55</v>
      </c>
      <c r="C30" s="25" t="s">
        <v>32</v>
      </c>
      <c r="D30" s="25" t="s">
        <v>33</v>
      </c>
      <c r="E30" s="26" t="s">
        <v>34</v>
      </c>
      <c r="F30" s="26" t="s">
        <v>35</v>
      </c>
    </row>
    <row r="31" spans="1:6">
      <c r="A31" s="84" t="s">
        <v>140</v>
      </c>
      <c r="B31" s="85" t="s">
        <v>56</v>
      </c>
      <c r="C31" s="86">
        <v>48775.38</v>
      </c>
      <c r="D31" s="86">
        <v>35323.19</v>
      </c>
      <c r="E31" s="87">
        <f>C31-D31</f>
        <v>13452.189999999995</v>
      </c>
      <c r="F31" s="88">
        <f>IFERROR(E31/C31,"")</f>
        <v>0.27579877388961388</v>
      </c>
    </row>
    <row r="32" spans="1:6">
      <c r="A32" s="31" t="s">
        <v>141</v>
      </c>
      <c r="B32" s="66"/>
      <c r="C32" s="22"/>
      <c r="D32" s="33"/>
      <c r="E32" s="62">
        <f t="shared" ref="E32:E37" si="4">C32-D32</f>
        <v>0</v>
      </c>
      <c r="F32" s="34" t="str">
        <f t="shared" ref="F32:F38" si="5">IFERROR(E32/C32,"")</f>
        <v/>
      </c>
    </row>
    <row r="33" spans="1:6">
      <c r="A33" s="31" t="s">
        <v>142</v>
      </c>
      <c r="B33" s="66"/>
      <c r="C33" s="33"/>
      <c r="D33" s="33"/>
      <c r="E33" s="62">
        <f t="shared" si="4"/>
        <v>0</v>
      </c>
      <c r="F33" s="34" t="str">
        <f t="shared" si="5"/>
        <v/>
      </c>
    </row>
    <row r="34" spans="1:6">
      <c r="A34" s="31" t="s">
        <v>143</v>
      </c>
      <c r="B34" s="66" t="s">
        <v>56</v>
      </c>
      <c r="C34" s="33">
        <v>74531</v>
      </c>
      <c r="D34" s="33">
        <v>56847</v>
      </c>
      <c r="E34" s="62">
        <f t="shared" si="4"/>
        <v>17684</v>
      </c>
      <c r="F34" s="34">
        <f t="shared" si="5"/>
        <v>0.23727039755269619</v>
      </c>
    </row>
    <row r="35" spans="1:6">
      <c r="A35" s="31" t="s">
        <v>144</v>
      </c>
      <c r="B35" s="32"/>
      <c r="C35" s="33"/>
      <c r="D35" s="33"/>
      <c r="E35" s="62">
        <f t="shared" si="4"/>
        <v>0</v>
      </c>
      <c r="F35" s="34" t="str">
        <f t="shared" si="5"/>
        <v/>
      </c>
    </row>
    <row r="36" spans="1:6">
      <c r="A36" s="31" t="s">
        <v>145</v>
      </c>
      <c r="B36" s="32" t="s">
        <v>173</v>
      </c>
      <c r="C36" s="33">
        <f>(36493+9984)*'Brændselsfordeling Nørager'!B14</f>
        <v>36419.054689797122</v>
      </c>
      <c r="D36" s="33">
        <f>34010*'Brændselsfordeling Nørager'!B14</f>
        <v>26650</v>
      </c>
      <c r="E36" s="62">
        <f t="shared" si="4"/>
        <v>9769.0546897971217</v>
      </c>
      <c r="F36" s="34">
        <f t="shared" si="5"/>
        <v>0.26824020483249789</v>
      </c>
    </row>
    <row r="37" spans="1:6" ht="15.75" thickBot="1">
      <c r="A37" s="35" t="s">
        <v>146</v>
      </c>
      <c r="B37" s="57" t="s">
        <v>56</v>
      </c>
      <c r="C37" s="55">
        <f>135938*'Brændselsfordeling Suldrup-Aars'!B12</f>
        <v>114339.80838485579</v>
      </c>
      <c r="D37" s="55">
        <f>103927*'Brændselsfordeling Suldrup-Aars'!B12</f>
        <v>87414.801350710666</v>
      </c>
      <c r="E37" s="89">
        <f t="shared" si="4"/>
        <v>26925.007034145121</v>
      </c>
      <c r="F37" s="56">
        <f t="shared" si="5"/>
        <v>0.23548235224881936</v>
      </c>
    </row>
    <row r="38" spans="1:6" ht="15.75" thickBot="1">
      <c r="A38" s="39" t="s">
        <v>46</v>
      </c>
      <c r="B38" s="52"/>
      <c r="C38" s="53">
        <f>SUM(C31:C37)</f>
        <v>274065.24307465291</v>
      </c>
      <c r="D38" s="53">
        <f>SUM(D31:D37)</f>
        <v>206234.99135071068</v>
      </c>
      <c r="E38" s="53">
        <f>C38-D38</f>
        <v>67830.25172394223</v>
      </c>
      <c r="F38" s="100">
        <f t="shared" si="5"/>
        <v>0.24749673093521704</v>
      </c>
    </row>
    <row r="39" spans="1:6">
      <c r="A39" s="21" t="s">
        <v>234</v>
      </c>
    </row>
    <row r="40" spans="1:6">
      <c r="A40" s="21" t="s">
        <v>147</v>
      </c>
    </row>
    <row r="71" s="4" customFormat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3998-E069-4FB8-88F2-B48E6C3DF61D}">
  <dimension ref="A1:BB88"/>
  <sheetViews>
    <sheetView workbookViewId="0">
      <selection activeCell="F13" sqref="F13:F14"/>
    </sheetView>
  </sheetViews>
  <sheetFormatPr defaultColWidth="9.140625" defaultRowHeight="15"/>
  <cols>
    <col min="1" max="1" width="38.42578125" style="21" customWidth="1"/>
    <col min="2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28</v>
      </c>
      <c r="B3" s="107">
        <v>2020</v>
      </c>
    </row>
    <row r="4" spans="1:54" s="107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  <c r="G4" s="26" t="s">
        <v>185</v>
      </c>
    </row>
    <row r="5" spans="1:54" s="107" customFormat="1">
      <c r="A5" s="84" t="s">
        <v>148</v>
      </c>
      <c r="B5" s="66" t="s">
        <v>177</v>
      </c>
      <c r="C5" s="33">
        <v>11346</v>
      </c>
      <c r="D5" s="33">
        <v>7439</v>
      </c>
      <c r="E5" s="62">
        <f>C5-D5</f>
        <v>3907</v>
      </c>
      <c r="F5" s="88">
        <f>IFERROR(E5/C5,"")</f>
        <v>0.34435043187026265</v>
      </c>
      <c r="G5" s="88"/>
    </row>
    <row r="6" spans="1:54" s="107" customFormat="1">
      <c r="A6" s="31" t="s">
        <v>149</v>
      </c>
      <c r="B6" s="66" t="s">
        <v>177</v>
      </c>
      <c r="C6" s="22">
        <v>44674</v>
      </c>
      <c r="D6" s="33">
        <v>31578</v>
      </c>
      <c r="E6" s="62">
        <f t="shared" ref="E6:E11" si="0">C6-D6</f>
        <v>13096</v>
      </c>
      <c r="F6" s="34">
        <f t="shared" ref="F6:G14" si="1">IFERROR(E6/C6,"")</f>
        <v>0.29314590141916996</v>
      </c>
      <c r="G6" s="34"/>
    </row>
    <row r="7" spans="1:54" s="107" customFormat="1">
      <c r="A7" s="31" t="s">
        <v>29</v>
      </c>
      <c r="B7" s="66" t="s">
        <v>196</v>
      </c>
      <c r="C7" s="33">
        <v>27467</v>
      </c>
      <c r="D7" s="33">
        <v>20933</v>
      </c>
      <c r="E7" s="62">
        <f t="shared" si="0"/>
        <v>6534</v>
      </c>
      <c r="F7" s="34">
        <f t="shared" si="1"/>
        <v>0.23788546255506607</v>
      </c>
      <c r="G7" s="34"/>
    </row>
    <row r="8" spans="1:54" s="107" customFormat="1">
      <c r="A8" s="31" t="s">
        <v>150</v>
      </c>
      <c r="B8" s="66" t="s">
        <v>178</v>
      </c>
      <c r="C8" s="33">
        <v>13912.01</v>
      </c>
      <c r="D8" s="33">
        <v>10559</v>
      </c>
      <c r="E8" s="62">
        <f t="shared" si="0"/>
        <v>3353.01</v>
      </c>
      <c r="F8" s="34">
        <f t="shared" si="1"/>
        <v>0.24101549668236294</v>
      </c>
      <c r="G8" s="34"/>
    </row>
    <row r="9" spans="1:54" s="107" customFormat="1">
      <c r="A9" s="31" t="s">
        <v>151</v>
      </c>
      <c r="B9" s="32" t="s">
        <v>196</v>
      </c>
      <c r="C9" s="33">
        <v>49187</v>
      </c>
      <c r="D9" s="33">
        <v>40382</v>
      </c>
      <c r="E9" s="62">
        <f t="shared" si="0"/>
        <v>8805</v>
      </c>
      <c r="F9" s="34">
        <f t="shared" si="1"/>
        <v>0.17901071421310508</v>
      </c>
      <c r="G9" s="34"/>
    </row>
    <row r="10" spans="1:54" s="107" customFormat="1">
      <c r="A10" s="31" t="s">
        <v>152</v>
      </c>
      <c r="B10" s="32" t="s">
        <v>175</v>
      </c>
      <c r="C10" s="33">
        <v>7937</v>
      </c>
      <c r="D10" s="33">
        <v>5414</v>
      </c>
      <c r="E10" s="62">
        <f t="shared" si="0"/>
        <v>2523</v>
      </c>
      <c r="F10" s="34">
        <f t="shared" si="1"/>
        <v>0.31787829154592417</v>
      </c>
      <c r="G10" s="34"/>
    </row>
    <row r="11" spans="1:54" s="107" customFormat="1">
      <c r="A11" s="31" t="s">
        <v>153</v>
      </c>
      <c r="B11" s="32" t="s">
        <v>175</v>
      </c>
      <c r="C11" s="33">
        <v>11484</v>
      </c>
      <c r="D11" s="33">
        <v>8511</v>
      </c>
      <c r="E11" s="62">
        <f t="shared" si="0"/>
        <v>2973</v>
      </c>
      <c r="F11" s="34">
        <f t="shared" si="1"/>
        <v>0.25888192267502613</v>
      </c>
      <c r="G11" s="34"/>
    </row>
    <row r="12" spans="1:54" s="107" customFormat="1" ht="15.75" thickBot="1">
      <c r="A12" s="47" t="s">
        <v>156</v>
      </c>
      <c r="B12" s="103" t="s">
        <v>202</v>
      </c>
      <c r="C12" s="37">
        <v>1887222</v>
      </c>
      <c r="D12" s="37">
        <f>C12-E12</f>
        <v>1593713.1</v>
      </c>
      <c r="E12" s="92">
        <f>C12*G12</f>
        <v>293508.89999999991</v>
      </c>
      <c r="F12" s="38">
        <f t="shared" si="1"/>
        <v>0.15552431033550898</v>
      </c>
      <c r="G12" s="38">
        <v>0.15552431033550898</v>
      </c>
    </row>
    <row r="13" spans="1:54" s="107" customFormat="1" ht="15.75" thickBot="1">
      <c r="A13" s="49" t="s">
        <v>155</v>
      </c>
      <c r="B13" s="40"/>
      <c r="C13" s="41">
        <f>SUM(C5:C11)</f>
        <v>166007.01</v>
      </c>
      <c r="D13" s="41">
        <f>SUM(D5:D11)</f>
        <v>124816</v>
      </c>
      <c r="E13" s="41">
        <f>C13-D13</f>
        <v>41191.010000000009</v>
      </c>
      <c r="F13" s="95">
        <f t="shared" si="1"/>
        <v>0.24812813627569105</v>
      </c>
      <c r="G13" s="95">
        <f t="shared" si="1"/>
        <v>1.9879513545994988E-6</v>
      </c>
    </row>
    <row r="14" spans="1:54" s="107" customFormat="1" ht="15.75" thickBot="1">
      <c r="A14" s="39" t="s">
        <v>46</v>
      </c>
      <c r="B14" s="52"/>
      <c r="C14" s="53">
        <f>SUM(C5:C12)</f>
        <v>2053229.01</v>
      </c>
      <c r="D14" s="53">
        <f>SUM(D5:D12)</f>
        <v>1718529.1</v>
      </c>
      <c r="E14" s="53">
        <f>C14-D14</f>
        <v>334699.90999999992</v>
      </c>
      <c r="F14" s="96">
        <f t="shared" si="1"/>
        <v>0.1630114850169587</v>
      </c>
      <c r="G14" s="96">
        <f t="shared" si="1"/>
        <v>9.4855236968031955E-8</v>
      </c>
    </row>
    <row r="15" spans="1:54" s="107" customFormat="1">
      <c r="A15" s="82" t="s">
        <v>201</v>
      </c>
    </row>
    <row r="16" spans="1:54" s="107" customFormat="1"/>
    <row r="17" spans="1:7" s="107" customFormat="1" ht="15.75" thickBot="1">
      <c r="A17" s="107" t="s">
        <v>28</v>
      </c>
      <c r="B17" s="107">
        <v>2018</v>
      </c>
    </row>
    <row r="18" spans="1:7" s="107" customFormat="1" ht="15.75" thickBot="1">
      <c r="A18" s="23" t="s">
        <v>31</v>
      </c>
      <c r="B18" s="24" t="s">
        <v>55</v>
      </c>
      <c r="C18" s="25" t="s">
        <v>32</v>
      </c>
      <c r="D18" s="25" t="s">
        <v>33</v>
      </c>
      <c r="E18" s="26" t="s">
        <v>34</v>
      </c>
      <c r="F18" s="26" t="s">
        <v>35</v>
      </c>
      <c r="G18" s="26" t="s">
        <v>185</v>
      </c>
    </row>
    <row r="19" spans="1:7" s="107" customFormat="1">
      <c r="A19" s="84" t="s">
        <v>148</v>
      </c>
      <c r="B19" s="66" t="s">
        <v>177</v>
      </c>
      <c r="C19" s="33">
        <v>11346</v>
      </c>
      <c r="D19" s="33">
        <v>7439</v>
      </c>
      <c r="E19" s="62">
        <f>C19-D19</f>
        <v>3907</v>
      </c>
      <c r="F19" s="88">
        <f>IFERROR(E19/C19,"")</f>
        <v>0.34435043187026265</v>
      </c>
      <c r="G19" s="88"/>
    </row>
    <row r="20" spans="1:7" s="107" customFormat="1">
      <c r="A20" s="31" t="s">
        <v>149</v>
      </c>
      <c r="B20" s="66" t="s">
        <v>177</v>
      </c>
      <c r="C20" s="110">
        <v>44674</v>
      </c>
      <c r="D20" s="33">
        <v>31578</v>
      </c>
      <c r="E20" s="62">
        <f t="shared" ref="E20:E25" si="2">C20-D20</f>
        <v>13096</v>
      </c>
      <c r="F20" s="34">
        <f t="shared" ref="F20:G28" si="3">IFERROR(E20/C20,"")</f>
        <v>0.29314590141916996</v>
      </c>
      <c r="G20" s="34"/>
    </row>
    <row r="21" spans="1:7" s="107" customFormat="1">
      <c r="A21" s="31" t="s">
        <v>29</v>
      </c>
      <c r="B21" s="66" t="s">
        <v>175</v>
      </c>
      <c r="C21" s="33">
        <v>29092</v>
      </c>
      <c r="D21" s="33">
        <v>22460</v>
      </c>
      <c r="E21" s="62">
        <f t="shared" si="2"/>
        <v>6632</v>
      </c>
      <c r="F21" s="34">
        <f t="shared" si="3"/>
        <v>0.22796645125807782</v>
      </c>
      <c r="G21" s="34"/>
    </row>
    <row r="22" spans="1:7" s="107" customFormat="1">
      <c r="A22" s="31" t="s">
        <v>150</v>
      </c>
      <c r="B22" s="66" t="s">
        <v>178</v>
      </c>
      <c r="C22" s="33">
        <v>13912.01</v>
      </c>
      <c r="D22" s="33">
        <v>10559</v>
      </c>
      <c r="E22" s="62">
        <f t="shared" si="2"/>
        <v>3353.01</v>
      </c>
      <c r="F22" s="34">
        <f t="shared" si="3"/>
        <v>0.24101549668236294</v>
      </c>
      <c r="G22" s="34"/>
    </row>
    <row r="23" spans="1:7" s="107" customFormat="1">
      <c r="A23" s="31" t="s">
        <v>151</v>
      </c>
      <c r="B23" s="32" t="s">
        <v>175</v>
      </c>
      <c r="C23" s="33">
        <v>50166</v>
      </c>
      <c r="D23" s="33">
        <v>38978</v>
      </c>
      <c r="E23" s="62">
        <f t="shared" si="2"/>
        <v>11188</v>
      </c>
      <c r="F23" s="34">
        <f t="shared" si="3"/>
        <v>0.22301957501096359</v>
      </c>
      <c r="G23" s="34"/>
    </row>
    <row r="24" spans="1:7" s="107" customFormat="1">
      <c r="A24" s="31" t="s">
        <v>152</v>
      </c>
      <c r="B24" s="32" t="s">
        <v>175</v>
      </c>
      <c r="C24" s="33">
        <v>7937</v>
      </c>
      <c r="D24" s="33">
        <v>5414</v>
      </c>
      <c r="E24" s="62">
        <f t="shared" si="2"/>
        <v>2523</v>
      </c>
      <c r="F24" s="34">
        <f t="shared" si="3"/>
        <v>0.31787829154592417</v>
      </c>
      <c r="G24" s="34"/>
    </row>
    <row r="25" spans="1:7" s="107" customFormat="1">
      <c r="A25" s="31" t="s">
        <v>153</v>
      </c>
      <c r="B25" s="32" t="s">
        <v>175</v>
      </c>
      <c r="C25" s="33">
        <v>11484</v>
      </c>
      <c r="D25" s="33">
        <v>8511</v>
      </c>
      <c r="E25" s="62">
        <f t="shared" si="2"/>
        <v>2973</v>
      </c>
      <c r="F25" s="34">
        <f t="shared" si="3"/>
        <v>0.25888192267502613</v>
      </c>
      <c r="G25" s="34"/>
    </row>
    <row r="26" spans="1:7" s="107" customFormat="1" ht="15.75" thickBot="1">
      <c r="A26" s="47" t="s">
        <v>156</v>
      </c>
      <c r="B26" s="103" t="s">
        <v>203</v>
      </c>
      <c r="C26" s="37">
        <v>1936069</v>
      </c>
      <c r="D26" s="37">
        <f>C26-E26</f>
        <v>1591642.3248999999</v>
      </c>
      <c r="E26" s="92">
        <f>C26*G26</f>
        <v>344426.67509999999</v>
      </c>
      <c r="F26" s="38">
        <f t="shared" si="3"/>
        <v>0.1779</v>
      </c>
      <c r="G26" s="38">
        <v>0.1779</v>
      </c>
    </row>
    <row r="27" spans="1:7" s="107" customFormat="1" ht="15.75" thickBot="1">
      <c r="A27" s="49" t="s">
        <v>155</v>
      </c>
      <c r="B27" s="40"/>
      <c r="C27" s="41">
        <f>SUM(C19:C25)</f>
        <v>168611.01</v>
      </c>
      <c r="D27" s="41">
        <f>SUM(D19:D25)</f>
        <v>124939</v>
      </c>
      <c r="E27" s="41">
        <f>C27-D27</f>
        <v>43672.010000000009</v>
      </c>
      <c r="F27" s="95">
        <f t="shared" si="3"/>
        <v>0.25901042879702818</v>
      </c>
      <c r="G27" s="95">
        <f t="shared" si="3"/>
        <v>2.0730951007854089E-6</v>
      </c>
    </row>
    <row r="28" spans="1:7" s="107" customFormat="1" ht="15.75" thickBot="1">
      <c r="A28" s="39" t="s">
        <v>46</v>
      </c>
      <c r="B28" s="52"/>
      <c r="C28" s="53">
        <f>SUM(C19:C26)</f>
        <v>2104680.0099999998</v>
      </c>
      <c r="D28" s="53">
        <f>SUM(D19:D26)</f>
        <v>1716581.3248999999</v>
      </c>
      <c r="E28" s="53">
        <f>C28-D28</f>
        <v>388098.68509999989</v>
      </c>
      <c r="F28" s="96">
        <f t="shared" si="3"/>
        <v>0.18439795277952961</v>
      </c>
      <c r="G28" s="96">
        <f t="shared" si="3"/>
        <v>1.0742162349358647E-7</v>
      </c>
    </row>
    <row r="29" spans="1:7" s="107" customFormat="1">
      <c r="A29" s="82" t="s">
        <v>204</v>
      </c>
    </row>
    <row r="30" spans="1:7" s="107" customFormat="1"/>
    <row r="31" spans="1:7" ht="15.75" thickBot="1">
      <c r="A31" s="21" t="s">
        <v>28</v>
      </c>
      <c r="B31" s="21">
        <v>2016</v>
      </c>
    </row>
    <row r="32" spans="1:7" ht="15.75" thickBot="1">
      <c r="A32" s="23" t="s">
        <v>31</v>
      </c>
      <c r="B32" s="24" t="s">
        <v>55</v>
      </c>
      <c r="C32" s="25" t="s">
        <v>32</v>
      </c>
      <c r="D32" s="25" t="s">
        <v>33</v>
      </c>
      <c r="E32" s="26" t="s">
        <v>34</v>
      </c>
      <c r="F32" s="26" t="s">
        <v>35</v>
      </c>
    </row>
    <row r="33" spans="1:6">
      <c r="A33" s="84" t="s">
        <v>148</v>
      </c>
      <c r="B33" s="66" t="s">
        <v>56</v>
      </c>
      <c r="C33" s="33">
        <v>11794</v>
      </c>
      <c r="D33" s="33">
        <v>6566</v>
      </c>
      <c r="E33" s="62">
        <f>C33-D33</f>
        <v>5228</v>
      </c>
      <c r="F33" s="88">
        <f>IFERROR(E33/C33,"")</f>
        <v>0.44327624215702899</v>
      </c>
    </row>
    <row r="34" spans="1:6">
      <c r="A34" s="31" t="s">
        <v>149</v>
      </c>
      <c r="B34" s="66" t="s">
        <v>56</v>
      </c>
      <c r="C34" s="22">
        <v>43752</v>
      </c>
      <c r="D34" s="33">
        <v>30428</v>
      </c>
      <c r="E34" s="62">
        <f t="shared" ref="E34:E39" si="4">C34-D34</f>
        <v>13324</v>
      </c>
      <c r="F34" s="34">
        <f t="shared" ref="F34:F42" si="5">IFERROR(E34/C34,"")</f>
        <v>0.30453464984457851</v>
      </c>
    </row>
    <row r="35" spans="1:6">
      <c r="A35" s="31" t="s">
        <v>29</v>
      </c>
      <c r="B35" s="66" t="s">
        <v>56</v>
      </c>
      <c r="C35" s="33">
        <v>28314</v>
      </c>
      <c r="D35" s="33">
        <v>21090</v>
      </c>
      <c r="E35" s="62">
        <f t="shared" si="4"/>
        <v>7224</v>
      </c>
      <c r="F35" s="34">
        <f t="shared" si="5"/>
        <v>0.25513880059334604</v>
      </c>
    </row>
    <row r="36" spans="1:6">
      <c r="A36" s="31" t="s">
        <v>150</v>
      </c>
      <c r="B36" s="66"/>
      <c r="C36" s="33"/>
      <c r="D36" s="33"/>
      <c r="E36" s="62">
        <f t="shared" si="4"/>
        <v>0</v>
      </c>
      <c r="F36" s="34" t="str">
        <f t="shared" si="5"/>
        <v/>
      </c>
    </row>
    <row r="37" spans="1:6">
      <c r="A37" s="31" t="s">
        <v>151</v>
      </c>
      <c r="B37" s="32" t="s">
        <v>57</v>
      </c>
      <c r="C37" s="33">
        <v>53000</v>
      </c>
      <c r="D37" s="33">
        <v>41831.72</v>
      </c>
      <c r="E37" s="62">
        <f t="shared" si="4"/>
        <v>11168.279999999999</v>
      </c>
      <c r="F37" s="34">
        <f t="shared" si="5"/>
        <v>0.21072226415094336</v>
      </c>
    </row>
    <row r="38" spans="1:6">
      <c r="A38" s="31" t="s">
        <v>152</v>
      </c>
      <c r="B38" s="32" t="s">
        <v>56</v>
      </c>
      <c r="C38" s="33">
        <v>7080</v>
      </c>
      <c r="D38" s="33">
        <v>4806</v>
      </c>
      <c r="E38" s="62">
        <f t="shared" si="4"/>
        <v>2274</v>
      </c>
      <c r="F38" s="34">
        <f t="shared" si="5"/>
        <v>0.32118644067796609</v>
      </c>
    </row>
    <row r="39" spans="1:6">
      <c r="A39" s="31" t="s">
        <v>153</v>
      </c>
      <c r="B39" s="32" t="s">
        <v>56</v>
      </c>
      <c r="C39" s="33">
        <v>11191</v>
      </c>
      <c r="D39" s="33">
        <v>8290</v>
      </c>
      <c r="E39" s="62">
        <f t="shared" si="4"/>
        <v>2901</v>
      </c>
      <c r="F39" s="34">
        <f t="shared" si="5"/>
        <v>0.25922616388169062</v>
      </c>
    </row>
    <row r="40" spans="1:6" ht="15.75" thickBot="1">
      <c r="A40" s="47" t="s">
        <v>156</v>
      </c>
      <c r="B40" s="1" t="s">
        <v>56</v>
      </c>
      <c r="C40" s="37">
        <v>1816937</v>
      </c>
      <c r="D40" s="37">
        <f>C40-E40</f>
        <v>1457183.4739999999</v>
      </c>
      <c r="E40" s="92">
        <f>C40*19.8%</f>
        <v>359753.52600000001</v>
      </c>
      <c r="F40" s="38">
        <f t="shared" si="5"/>
        <v>0.19800000000000001</v>
      </c>
    </row>
    <row r="41" spans="1:6" ht="15.75" thickBot="1">
      <c r="A41" s="49" t="s">
        <v>155</v>
      </c>
      <c r="B41" s="40"/>
      <c r="C41" s="41">
        <f>SUM(C33:C39)</f>
        <v>155131</v>
      </c>
      <c r="D41" s="41">
        <f>SUM(D33:D39)</f>
        <v>113011.72</v>
      </c>
      <c r="E41" s="41">
        <f>C41-D41</f>
        <v>42119.28</v>
      </c>
      <c r="F41" s="95">
        <f t="shared" si="5"/>
        <v>0.27150782242105059</v>
      </c>
    </row>
    <row r="42" spans="1:6" ht="15.75" thickBot="1">
      <c r="A42" s="39" t="s">
        <v>46</v>
      </c>
      <c r="B42" s="52"/>
      <c r="C42" s="53">
        <f>SUM(C33:C40)</f>
        <v>1972068</v>
      </c>
      <c r="D42" s="53">
        <f>SUM(D33:D40)</f>
        <v>1570195.1939999999</v>
      </c>
      <c r="E42" s="53">
        <f>C42-D42</f>
        <v>401872.8060000001</v>
      </c>
      <c r="F42" s="96">
        <f t="shared" si="5"/>
        <v>0.2037824283949641</v>
      </c>
    </row>
    <row r="43" spans="1:6">
      <c r="A43" s="82" t="s">
        <v>157</v>
      </c>
    </row>
    <row r="45" spans="1:6" ht="15.75" thickBot="1">
      <c r="A45" s="21" t="s">
        <v>28</v>
      </c>
      <c r="B45" s="21">
        <v>2013</v>
      </c>
    </row>
    <row r="46" spans="1:6" ht="15.75" thickBot="1">
      <c r="A46" s="23" t="s">
        <v>31</v>
      </c>
      <c r="B46" s="24" t="s">
        <v>32</v>
      </c>
      <c r="C46" s="25" t="s">
        <v>33</v>
      </c>
      <c r="D46" s="25" t="s">
        <v>34</v>
      </c>
      <c r="E46" s="26" t="s">
        <v>35</v>
      </c>
      <c r="F46" s="26" t="s">
        <v>61</v>
      </c>
    </row>
    <row r="47" spans="1:6">
      <c r="A47" s="27" t="s">
        <v>148</v>
      </c>
      <c r="B47" s="59">
        <v>12090</v>
      </c>
      <c r="C47" s="60">
        <v>7363</v>
      </c>
      <c r="D47" s="60">
        <f t="shared" ref="D47:D54" si="6">B47-C47</f>
        <v>4727</v>
      </c>
      <c r="E47" s="30">
        <f>D47/B47</f>
        <v>0.39098428453267164</v>
      </c>
      <c r="F47" s="51"/>
    </row>
    <row r="48" spans="1:6">
      <c r="A48" s="31" t="s">
        <v>149</v>
      </c>
      <c r="B48" s="61">
        <v>49761</v>
      </c>
      <c r="C48" s="62">
        <v>34840</v>
      </c>
      <c r="D48" s="62">
        <f t="shared" si="6"/>
        <v>14921</v>
      </c>
      <c r="E48" s="34">
        <f>D48/B48</f>
        <v>0.29985329876811156</v>
      </c>
      <c r="F48" s="34"/>
    </row>
    <row r="49" spans="1:6">
      <c r="A49" s="31" t="s">
        <v>29</v>
      </c>
      <c r="B49" s="32">
        <v>26225</v>
      </c>
      <c r="C49" s="33">
        <v>20370</v>
      </c>
      <c r="D49" s="33">
        <f t="shared" si="6"/>
        <v>5855</v>
      </c>
      <c r="E49" s="34">
        <f t="shared" ref="E49" si="7">D49/B49</f>
        <v>0.2232602478551001</v>
      </c>
      <c r="F49" s="34"/>
    </row>
    <row r="50" spans="1:6">
      <c r="A50" s="31" t="s">
        <v>150</v>
      </c>
      <c r="B50" s="32"/>
      <c r="C50" s="33">
        <v>0</v>
      </c>
      <c r="D50" s="33">
        <f t="shared" si="6"/>
        <v>0</v>
      </c>
      <c r="E50" s="34" t="str">
        <f t="shared" ref="E50" si="8">IFERROR(D50/B50,"")</f>
        <v/>
      </c>
      <c r="F50" s="34"/>
    </row>
    <row r="51" spans="1:6">
      <c r="A51" s="31" t="s">
        <v>151</v>
      </c>
      <c r="B51" s="32">
        <v>53000</v>
      </c>
      <c r="C51" s="33">
        <v>41831.72</v>
      </c>
      <c r="D51" s="33">
        <f t="shared" si="6"/>
        <v>11168.279999999999</v>
      </c>
      <c r="E51" s="34">
        <f>D51/B51</f>
        <v>0.21072226415094336</v>
      </c>
      <c r="F51" s="34"/>
    </row>
    <row r="52" spans="1:6">
      <c r="A52" s="31" t="s">
        <v>152</v>
      </c>
      <c r="B52" s="32">
        <v>7700.6</v>
      </c>
      <c r="C52" s="33">
        <v>5460.8</v>
      </c>
      <c r="D52" s="33">
        <f t="shared" si="6"/>
        <v>2239.8000000000002</v>
      </c>
      <c r="E52" s="34">
        <f>D52/B52</f>
        <v>0.29086045243227804</v>
      </c>
      <c r="F52" s="34"/>
    </row>
    <row r="53" spans="1:6">
      <c r="A53" s="31" t="s">
        <v>153</v>
      </c>
      <c r="B53" s="32">
        <v>13798</v>
      </c>
      <c r="C53" s="33">
        <v>9503</v>
      </c>
      <c r="D53" s="33">
        <f t="shared" si="6"/>
        <v>4295</v>
      </c>
      <c r="E53" s="34">
        <f>D53/B53</f>
        <v>0.31127699666618353</v>
      </c>
      <c r="F53" s="34"/>
    </row>
    <row r="54" spans="1:6" ht="15.75" thickBot="1">
      <c r="A54" s="47" t="s">
        <v>154</v>
      </c>
      <c r="B54" s="36">
        <v>1909578</v>
      </c>
      <c r="C54" s="37">
        <v>1580931.9036000001</v>
      </c>
      <c r="D54" s="37">
        <f t="shared" si="6"/>
        <v>328646.09639999992</v>
      </c>
      <c r="E54" s="38">
        <f t="shared" ref="E54:E55" si="9">D54/B54</f>
        <v>0.17210404413959521</v>
      </c>
      <c r="F54" s="38"/>
    </row>
    <row r="55" spans="1:6" ht="15.75" thickBot="1">
      <c r="A55" s="49" t="s">
        <v>155</v>
      </c>
      <c r="B55" s="40">
        <f>SUM(B47:B53)</f>
        <v>162574.6</v>
      </c>
      <c r="C55" s="41">
        <f>SUM(C47:C53)</f>
        <v>119368.52</v>
      </c>
      <c r="D55" s="41">
        <f>SUM(D47:D53)</f>
        <v>43206.080000000002</v>
      </c>
      <c r="E55" s="95">
        <f t="shared" si="9"/>
        <v>0.26576156422959057</v>
      </c>
      <c r="F55" s="70"/>
    </row>
    <row r="56" spans="1:6" ht="15.75" thickBot="1">
      <c r="A56" s="39" t="s">
        <v>46</v>
      </c>
      <c r="B56" s="52">
        <f>SUM(B47:B54)</f>
        <v>2072152.6</v>
      </c>
      <c r="C56" s="53">
        <f>SUM(C47:C54)</f>
        <v>1700300.4236000001</v>
      </c>
      <c r="D56" s="53">
        <f>SUM(D47:D54)</f>
        <v>371852.17639999994</v>
      </c>
      <c r="E56" s="96">
        <f>D56/B56</f>
        <v>0.17945211969427344</v>
      </c>
    </row>
    <row r="88" s="4" customFormat="1"/>
  </sheetData>
  <pageMargins left="0.7" right="0.7" top="0.75" bottom="0.75" header="0.3" footer="0.3"/>
  <ignoredErrors>
    <ignoredError sqref="E40" formula="1"/>
    <ignoredError sqref="C4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31DF-9B81-4F5F-A317-4BECBE63B376}">
  <dimension ref="A1:Q49"/>
  <sheetViews>
    <sheetView tabSelected="1" zoomScaleNormal="100" workbookViewId="0">
      <selection activeCell="D13" sqref="D13:D14"/>
    </sheetView>
  </sheetViews>
  <sheetFormatPr defaultColWidth="9.140625" defaultRowHeight="12.75"/>
  <cols>
    <col min="1" max="1" width="29.5703125" style="146" customWidth="1"/>
    <col min="2" max="11" width="11.28515625" style="146" customWidth="1"/>
    <col min="12" max="12" width="13.7109375" style="146" customWidth="1"/>
    <col min="13" max="13" width="14.85546875" style="146" customWidth="1"/>
    <col min="14" max="14" width="13.42578125" style="146" bestFit="1" customWidth="1"/>
    <col min="15" max="15" width="14.140625" style="146" bestFit="1" customWidth="1"/>
    <col min="16" max="16384" width="9.140625" style="146"/>
  </cols>
  <sheetData>
    <row r="1" spans="1:17" s="141" customFormat="1" ht="26.25">
      <c r="A1" s="139" t="s">
        <v>224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6.5">
      <c r="A2" s="142" t="s">
        <v>221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45"/>
      <c r="N2" s="145"/>
      <c r="O2" s="145"/>
      <c r="P2" s="145"/>
    </row>
    <row r="3" spans="1:17" ht="16.5">
      <c r="A3" s="143"/>
      <c r="B3" s="147" t="s">
        <v>225</v>
      </c>
      <c r="C3" s="147" t="s">
        <v>226</v>
      </c>
      <c r="D3" s="147" t="s">
        <v>225</v>
      </c>
      <c r="G3" s="147"/>
      <c r="H3" s="147"/>
      <c r="I3" s="147"/>
      <c r="J3" s="147"/>
      <c r="K3" s="147"/>
      <c r="L3" s="145"/>
      <c r="M3" s="145"/>
      <c r="N3" s="145"/>
      <c r="O3" s="145"/>
      <c r="P3" s="145"/>
    </row>
    <row r="4" spans="1:17" ht="16.5">
      <c r="A4" s="148" t="s">
        <v>217</v>
      </c>
      <c r="B4" s="149">
        <v>2016</v>
      </c>
      <c r="C4" s="149">
        <v>2018</v>
      </c>
      <c r="D4" s="149">
        <v>2020</v>
      </c>
      <c r="F4" s="147"/>
      <c r="G4" s="147"/>
      <c r="H4" s="150"/>
      <c r="I4" s="147"/>
      <c r="J4" s="147"/>
      <c r="K4" s="147"/>
      <c r="L4" s="145"/>
      <c r="M4" s="145"/>
      <c r="N4" s="145"/>
      <c r="O4" s="145"/>
      <c r="P4" s="145"/>
    </row>
    <row r="5" spans="1:17" ht="16.5">
      <c r="A5" s="149" t="s">
        <v>223</v>
      </c>
      <c r="B5" s="151">
        <v>0</v>
      </c>
      <c r="C5" s="151">
        <v>0</v>
      </c>
      <c r="D5" s="151">
        <f>D8*(1-84.4%)</f>
        <v>7825.8959999999961</v>
      </c>
      <c r="F5" s="147"/>
      <c r="G5" s="147"/>
      <c r="H5" s="150"/>
      <c r="I5" s="147"/>
      <c r="J5" s="147"/>
      <c r="K5" s="147"/>
      <c r="L5" s="145"/>
      <c r="M5" s="145"/>
      <c r="N5" s="145"/>
      <c r="O5" s="145"/>
      <c r="P5" s="145"/>
    </row>
    <row r="6" spans="1:17" ht="16.5">
      <c r="A6" s="149" t="s">
        <v>25</v>
      </c>
      <c r="B6" s="151">
        <v>7360</v>
      </c>
      <c r="C6" s="151">
        <v>13050</v>
      </c>
      <c r="D6" s="151">
        <v>13196</v>
      </c>
      <c r="E6" s="147"/>
      <c r="F6" s="147"/>
      <c r="G6" s="147"/>
      <c r="H6" s="147"/>
      <c r="I6" s="147"/>
      <c r="J6" s="147"/>
      <c r="K6" s="147"/>
      <c r="L6" s="145"/>
      <c r="M6" s="145"/>
      <c r="N6" s="145"/>
      <c r="O6" s="145"/>
      <c r="P6" s="145"/>
    </row>
    <row r="7" spans="1:17" ht="17.25" thickBot="1">
      <c r="A7" s="149" t="s">
        <v>220</v>
      </c>
      <c r="B7" s="151">
        <v>26650</v>
      </c>
      <c r="C7" s="151">
        <v>47867</v>
      </c>
      <c r="D7" s="151">
        <f>D8-D5-D6</f>
        <v>29144.104000000007</v>
      </c>
      <c r="E7" s="147"/>
      <c r="F7" s="147"/>
      <c r="G7" s="147"/>
      <c r="H7" s="147"/>
      <c r="I7" s="147"/>
      <c r="J7" s="147"/>
      <c r="K7" s="147"/>
      <c r="L7" s="145"/>
      <c r="M7" s="145"/>
      <c r="N7" s="145"/>
      <c r="O7" s="145"/>
      <c r="P7" s="145"/>
    </row>
    <row r="8" spans="1:17" s="147" customFormat="1" ht="15" thickBot="1">
      <c r="A8" s="152" t="s">
        <v>218</v>
      </c>
      <c r="B8" s="153">
        <f>SUM(B5:B7)</f>
        <v>34010</v>
      </c>
      <c r="C8" s="153">
        <f t="shared" ref="C8" si="0">SUM(C5:C7)</f>
        <v>60917</v>
      </c>
      <c r="D8" s="153">
        <v>50166</v>
      </c>
    </row>
    <row r="9" spans="1:17" s="147" customFormat="1" ht="14.25">
      <c r="A9" s="146"/>
    </row>
    <row r="10" spans="1:17" s="147" customFormat="1" ht="14.25">
      <c r="A10" s="146"/>
    </row>
    <row r="11" spans="1:17" s="147" customFormat="1" ht="14.25">
      <c r="A11" s="146" t="s">
        <v>219</v>
      </c>
      <c r="B11" s="149">
        <v>2016</v>
      </c>
      <c r="C11" s="149">
        <v>2018</v>
      </c>
      <c r="D11" s="149">
        <v>2020</v>
      </c>
    </row>
    <row r="12" spans="1:17" s="147" customFormat="1" ht="14.25">
      <c r="A12" s="149" t="str">
        <f>A5</f>
        <v>Viborg</v>
      </c>
      <c r="B12" s="154">
        <f>IFERROR(B5/$B$8,"")</f>
        <v>0</v>
      </c>
      <c r="C12" s="154">
        <f>IFERROR(C5/$C$8,"")</f>
        <v>0</v>
      </c>
      <c r="D12" s="154">
        <f>IFERROR(D5/$D$8,"")</f>
        <v>0.15599999999999992</v>
      </c>
    </row>
    <row r="13" spans="1:17" s="147" customFormat="1" ht="14.25">
      <c r="A13" s="149" t="str">
        <f>A6</f>
        <v>Rebild</v>
      </c>
      <c r="B13" s="154">
        <f>IFERROR(B6/$B$8,"")</f>
        <v>0.21640693913554837</v>
      </c>
      <c r="C13" s="154">
        <f>IFERROR(C6/$C$8,"")</f>
        <v>0.21422591394848728</v>
      </c>
      <c r="D13" s="154">
        <f>IFERROR(D6/$D$8,"")</f>
        <v>0.26304668500578082</v>
      </c>
    </row>
    <row r="14" spans="1:17" s="147" customFormat="1" ht="14.25">
      <c r="A14" s="149" t="str">
        <f>A7</f>
        <v>Vesthimmerland</v>
      </c>
      <c r="B14" s="154">
        <f>IFERROR(B7/$B$8,"")</f>
        <v>0.78359306086445168</v>
      </c>
      <c r="C14" s="154">
        <f>IFERROR(C7/$C$8,"")</f>
        <v>0.78577408605151267</v>
      </c>
      <c r="D14" s="154">
        <f>IFERROR(D7/$D$8,"")</f>
        <v>0.58095331499421932</v>
      </c>
    </row>
    <row r="15" spans="1:17" s="147" customFormat="1" ht="14.25">
      <c r="A15" s="149" t="str">
        <f>A8</f>
        <v>Hovedtotal</v>
      </c>
      <c r="B15" s="155">
        <f t="shared" ref="B15:C15" si="1">SUM(B12:B14)</f>
        <v>1</v>
      </c>
      <c r="C15" s="155">
        <f t="shared" si="1"/>
        <v>1</v>
      </c>
      <c r="D15" s="155">
        <f>SUM(D12:D14)</f>
        <v>1</v>
      </c>
    </row>
    <row r="16" spans="1:17" s="147" customFormat="1" ht="14.25">
      <c r="E16" s="146"/>
      <c r="F16" s="146"/>
      <c r="G16" s="146"/>
      <c r="H16" s="146"/>
      <c r="I16" s="146"/>
      <c r="J16" s="146"/>
      <c r="K16" s="146"/>
    </row>
    <row r="17" spans="1:11" s="147" customFormat="1" ht="14.25"/>
    <row r="18" spans="1:11" s="147" customFormat="1" ht="14.25"/>
    <row r="19" spans="1:11" s="147" customFormat="1" ht="14.25"/>
    <row r="20" spans="1:11" s="147" customFormat="1" ht="14.25"/>
    <row r="21" spans="1:11" s="147" customFormat="1" ht="14.25"/>
    <row r="22" spans="1:11" ht="14.25">
      <c r="E22" s="147"/>
      <c r="F22" s="147"/>
      <c r="G22" s="147"/>
      <c r="H22" s="147"/>
      <c r="I22" s="147"/>
      <c r="J22" s="147"/>
      <c r="K22" s="147"/>
    </row>
    <row r="23" spans="1:11" s="147" customFormat="1" ht="14.25">
      <c r="A23" s="146"/>
    </row>
    <row r="24" spans="1:11" s="147" customFormat="1" ht="14.25">
      <c r="A24" s="146"/>
    </row>
    <row r="25" spans="1:11" s="147" customFormat="1" ht="14.25">
      <c r="A25" s="146"/>
    </row>
    <row r="26" spans="1:11" s="147" customFormat="1" ht="14.25">
      <c r="A26" s="146"/>
    </row>
    <row r="27" spans="1:11" s="147" customFormat="1" ht="14.25">
      <c r="A27" s="146"/>
    </row>
    <row r="28" spans="1:11" s="147" customFormat="1" ht="14.25">
      <c r="A28" s="146"/>
    </row>
    <row r="29" spans="1:11" s="147" customFormat="1" ht="14.25">
      <c r="A29" s="146"/>
    </row>
    <row r="30" spans="1:11" s="147" customFormat="1" ht="14.25">
      <c r="A30" s="146"/>
    </row>
    <row r="31" spans="1:11" s="147" customFormat="1" ht="14.25">
      <c r="A31" s="146"/>
    </row>
    <row r="32" spans="1:11" s="147" customFormat="1" ht="14.25">
      <c r="A32" s="146"/>
    </row>
    <row r="33" spans="1:12" s="147" customFormat="1" ht="14.25">
      <c r="A33" s="146"/>
      <c r="E33" s="156"/>
      <c r="F33" s="156"/>
      <c r="G33" s="156"/>
      <c r="H33" s="156"/>
      <c r="I33" s="156"/>
      <c r="J33" s="156"/>
      <c r="K33" s="156"/>
    </row>
    <row r="34" spans="1:12" s="147" customFormat="1" ht="14.25">
      <c r="A34" s="146"/>
      <c r="E34" s="156"/>
      <c r="F34" s="156"/>
      <c r="G34" s="156"/>
      <c r="H34" s="156"/>
      <c r="I34" s="156"/>
      <c r="J34" s="156"/>
      <c r="K34" s="156"/>
    </row>
    <row r="35" spans="1:12" s="147" customFormat="1" ht="14.25">
      <c r="A35" s="146"/>
      <c r="E35" s="156"/>
      <c r="F35" s="156"/>
      <c r="G35" s="156"/>
      <c r="H35" s="156"/>
      <c r="I35" s="156"/>
      <c r="J35" s="156"/>
      <c r="K35" s="156"/>
    </row>
    <row r="36" spans="1:12" s="147" customFormat="1" ht="14.25">
      <c r="A36" s="157"/>
      <c r="E36" s="146"/>
      <c r="F36" s="146"/>
      <c r="G36" s="146"/>
      <c r="H36" s="146"/>
      <c r="I36" s="146"/>
      <c r="J36" s="146"/>
      <c r="K36" s="146"/>
    </row>
    <row r="37" spans="1:12" s="147" customFormat="1" ht="14.25">
      <c r="A37" s="146"/>
      <c r="F37" s="156"/>
      <c r="G37" s="156"/>
      <c r="H37" s="156"/>
      <c r="I37" s="156"/>
      <c r="J37" s="156"/>
      <c r="K37" s="156"/>
      <c r="L37" s="156"/>
    </row>
    <row r="38" spans="1:12" s="147" customFormat="1" ht="14.25">
      <c r="A38" s="146"/>
      <c r="B38" s="156"/>
      <c r="C38" s="156"/>
      <c r="D38" s="156"/>
      <c r="F38" s="156"/>
      <c r="G38" s="156"/>
      <c r="H38" s="156"/>
      <c r="I38" s="156"/>
      <c r="J38" s="156"/>
      <c r="K38" s="156"/>
      <c r="L38" s="156"/>
    </row>
    <row r="39" spans="1:12"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</row>
    <row r="40" spans="1:12"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</row>
    <row r="41" spans="1:12">
      <c r="E41" s="156"/>
    </row>
    <row r="42" spans="1:12">
      <c r="B42" s="156"/>
      <c r="C42" s="156"/>
      <c r="D42" s="156"/>
    </row>
    <row r="43" spans="1:12"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</row>
    <row r="44" spans="1:12">
      <c r="B44" s="156"/>
      <c r="C44" s="156"/>
      <c r="D44" s="156"/>
      <c r="E44" s="156"/>
    </row>
    <row r="45" spans="1:12">
      <c r="B45" s="156"/>
      <c r="C45" s="156"/>
      <c r="D45" s="156"/>
      <c r="E45" s="156"/>
    </row>
    <row r="46" spans="1:12">
      <c r="E46" s="156"/>
    </row>
    <row r="48" spans="1:12">
      <c r="B48" s="156"/>
      <c r="C48" s="156"/>
      <c r="D48" s="156"/>
    </row>
    <row r="49" spans="5:5">
      <c r="E49" s="15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BE9A-0A0A-446F-BF48-FF7211E22D86}">
  <dimension ref="A1:Q47"/>
  <sheetViews>
    <sheetView zoomScaleNormal="100" workbookViewId="0">
      <selection activeCell="D12" sqref="D12"/>
    </sheetView>
  </sheetViews>
  <sheetFormatPr defaultColWidth="9.140625" defaultRowHeight="12.75"/>
  <cols>
    <col min="1" max="1" width="29.5703125" style="146" customWidth="1"/>
    <col min="2" max="11" width="11.28515625" style="146" customWidth="1"/>
    <col min="12" max="12" width="13.7109375" style="146" customWidth="1"/>
    <col min="13" max="13" width="14.85546875" style="146" customWidth="1"/>
    <col min="14" max="14" width="13.42578125" style="146" bestFit="1" customWidth="1"/>
    <col min="15" max="15" width="14.140625" style="146" bestFit="1" customWidth="1"/>
    <col min="16" max="16384" width="9.140625" style="146"/>
  </cols>
  <sheetData>
    <row r="1" spans="1:17" s="141" customFormat="1" ht="26.25">
      <c r="A1" s="139" t="s">
        <v>222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6.5">
      <c r="A2" s="142" t="s">
        <v>221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45"/>
      <c r="N2" s="145"/>
      <c r="O2" s="145"/>
      <c r="P2" s="145"/>
    </row>
    <row r="3" spans="1:17" ht="16.5">
      <c r="A3" s="143"/>
      <c r="B3" s="147"/>
      <c r="C3" s="147"/>
      <c r="D3" s="147"/>
      <c r="G3" s="147"/>
      <c r="H3" s="147"/>
      <c r="I3" s="147"/>
      <c r="J3" s="147"/>
      <c r="K3" s="147"/>
      <c r="L3" s="145"/>
      <c r="M3" s="145"/>
      <c r="N3" s="145"/>
      <c r="O3" s="145"/>
      <c r="P3" s="145"/>
    </row>
    <row r="4" spans="1:17" ht="16.5">
      <c r="A4" s="148" t="s">
        <v>217</v>
      </c>
      <c r="B4" s="149">
        <v>2016</v>
      </c>
      <c r="C4" s="149">
        <v>2018</v>
      </c>
      <c r="D4" s="149">
        <v>2020</v>
      </c>
      <c r="F4" s="147"/>
      <c r="G4" s="147"/>
      <c r="H4" s="150"/>
      <c r="I4" s="147"/>
      <c r="J4" s="147"/>
      <c r="K4" s="147"/>
      <c r="L4" s="145"/>
      <c r="M4" s="145"/>
      <c r="N4" s="145"/>
      <c r="O4" s="145"/>
      <c r="P4" s="145"/>
    </row>
    <row r="5" spans="1:17" ht="16.5">
      <c r="A5" s="149" t="s">
        <v>25</v>
      </c>
      <c r="B5" s="151">
        <v>16421</v>
      </c>
      <c r="C5" s="151">
        <v>19578</v>
      </c>
      <c r="D5" s="151">
        <v>16491</v>
      </c>
      <c r="E5" s="147"/>
      <c r="F5" s="147"/>
      <c r="G5" s="147"/>
      <c r="H5" s="147"/>
      <c r="I5" s="147"/>
      <c r="J5" s="147"/>
      <c r="K5" s="147"/>
      <c r="L5" s="145"/>
      <c r="M5" s="145"/>
      <c r="N5" s="145"/>
      <c r="O5" s="145"/>
      <c r="P5" s="145"/>
    </row>
    <row r="6" spans="1:17" ht="17.25" thickBot="1">
      <c r="A6" s="149" t="s">
        <v>220</v>
      </c>
      <c r="B6" s="151">
        <v>86932</v>
      </c>
      <c r="C6" s="151">
        <v>95302</v>
      </c>
      <c r="D6" s="151">
        <v>93741</v>
      </c>
      <c r="E6" s="147"/>
      <c r="F6" s="147"/>
      <c r="G6" s="147"/>
      <c r="H6" s="147"/>
      <c r="I6" s="147"/>
      <c r="J6" s="147"/>
      <c r="K6" s="147"/>
      <c r="L6" s="145"/>
      <c r="M6" s="145"/>
      <c r="N6" s="145"/>
      <c r="O6" s="145"/>
      <c r="P6" s="145"/>
    </row>
    <row r="7" spans="1:17" s="147" customFormat="1" ht="15" thickBot="1">
      <c r="A7" s="152" t="s">
        <v>218</v>
      </c>
      <c r="B7" s="153">
        <f>SUM(B5:B6)</f>
        <v>103353</v>
      </c>
      <c r="C7" s="153">
        <f>SUM(C5:C6)</f>
        <v>114880</v>
      </c>
      <c r="D7" s="153">
        <f>SUM(D5:D6)</f>
        <v>110232</v>
      </c>
    </row>
    <row r="8" spans="1:17" s="147" customFormat="1" ht="14.25">
      <c r="A8" s="146"/>
    </row>
    <row r="9" spans="1:17" s="147" customFormat="1" ht="14.25">
      <c r="A9" s="146"/>
    </row>
    <row r="10" spans="1:17" s="147" customFormat="1" ht="14.25">
      <c r="A10" s="146" t="s">
        <v>219</v>
      </c>
      <c r="B10" s="149">
        <v>2016</v>
      </c>
      <c r="C10" s="149">
        <v>2018</v>
      </c>
      <c r="D10" s="149">
        <v>2020</v>
      </c>
    </row>
    <row r="11" spans="1:17" s="147" customFormat="1" ht="14.25">
      <c r="A11" s="149" t="str">
        <f>A5</f>
        <v>Rebild</v>
      </c>
      <c r="B11" s="154">
        <f>IFERROR(B5/$B$7,"")</f>
        <v>0.15888266426712336</v>
      </c>
      <c r="C11" s="154">
        <f>IFERROR(C5/$C$7,"")</f>
        <v>0.17042130919220055</v>
      </c>
      <c r="D11" s="154">
        <f>IFERROR(D5/$D$7,"")</f>
        <v>0.14960265621598084</v>
      </c>
    </row>
    <row r="12" spans="1:17" s="147" customFormat="1" ht="14.25">
      <c r="A12" s="149" t="str">
        <f>A6</f>
        <v>Vesthimmerland</v>
      </c>
      <c r="B12" s="154">
        <f>IFERROR(B6/$B$7,"")</f>
        <v>0.84111733573287661</v>
      </c>
      <c r="C12" s="154">
        <f>IFERROR(C6/$C$7,"")</f>
        <v>0.82957869080779945</v>
      </c>
      <c r="D12" s="154">
        <f>IFERROR(D6/$D$7,"")</f>
        <v>0.85039734378401921</v>
      </c>
    </row>
    <row r="13" spans="1:17" s="147" customFormat="1" ht="14.25">
      <c r="A13" s="149" t="str">
        <f>A7</f>
        <v>Hovedtotal</v>
      </c>
      <c r="B13" s="155">
        <f>SUM(B11:B12)</f>
        <v>1</v>
      </c>
      <c r="C13" s="155">
        <f>SUM(C11:C12)</f>
        <v>1</v>
      </c>
      <c r="D13" s="155">
        <f>SUM(D11:D12)</f>
        <v>1</v>
      </c>
    </row>
    <row r="14" spans="1:17" s="147" customFormat="1" ht="14.25">
      <c r="E14" s="146"/>
      <c r="F14" s="146"/>
      <c r="G14" s="146"/>
      <c r="H14" s="146"/>
      <c r="I14" s="146"/>
      <c r="J14" s="146"/>
      <c r="K14" s="146"/>
    </row>
    <row r="15" spans="1:17" s="147" customFormat="1" ht="14.25"/>
    <row r="16" spans="1:17" s="147" customFormat="1" ht="14.25"/>
    <row r="17" spans="1:11" s="147" customFormat="1" ht="14.25"/>
    <row r="18" spans="1:11" s="147" customFormat="1" ht="14.25"/>
    <row r="19" spans="1:11" s="147" customFormat="1" ht="14.25"/>
    <row r="20" spans="1:11" ht="14.25">
      <c r="E20" s="147"/>
      <c r="F20" s="147"/>
      <c r="G20" s="147"/>
      <c r="H20" s="147"/>
      <c r="I20" s="147"/>
      <c r="J20" s="147"/>
      <c r="K20" s="147"/>
    </row>
    <row r="21" spans="1:11" s="147" customFormat="1" ht="14.25">
      <c r="A21" s="146"/>
    </row>
    <row r="22" spans="1:11" s="147" customFormat="1" ht="14.25">
      <c r="A22" s="146"/>
    </row>
    <row r="23" spans="1:11" s="147" customFormat="1" ht="14.25">
      <c r="A23" s="146"/>
    </row>
    <row r="24" spans="1:11" s="147" customFormat="1" ht="14.25">
      <c r="A24" s="146"/>
    </row>
    <row r="25" spans="1:11" s="147" customFormat="1" ht="14.25">
      <c r="A25" s="146"/>
    </row>
    <row r="26" spans="1:11" s="147" customFormat="1" ht="14.25">
      <c r="A26" s="146"/>
    </row>
    <row r="27" spans="1:11" s="147" customFormat="1" ht="14.25">
      <c r="A27" s="146"/>
    </row>
    <row r="28" spans="1:11" s="147" customFormat="1" ht="14.25">
      <c r="A28" s="146"/>
    </row>
    <row r="29" spans="1:11" s="147" customFormat="1" ht="14.25">
      <c r="A29" s="146"/>
    </row>
    <row r="30" spans="1:11" s="147" customFormat="1" ht="14.25">
      <c r="A30" s="146"/>
    </row>
    <row r="31" spans="1:11" s="147" customFormat="1" ht="14.25">
      <c r="A31" s="146"/>
      <c r="E31" s="156"/>
      <c r="F31" s="156"/>
      <c r="G31" s="156"/>
      <c r="H31" s="156"/>
      <c r="I31" s="156"/>
      <c r="J31" s="156"/>
      <c r="K31" s="156"/>
    </row>
    <row r="32" spans="1:11" s="147" customFormat="1" ht="14.25">
      <c r="A32" s="146"/>
      <c r="E32" s="156"/>
      <c r="F32" s="156"/>
      <c r="G32" s="156"/>
      <c r="H32" s="156"/>
      <c r="I32" s="156"/>
      <c r="J32" s="156"/>
      <c r="K32" s="156"/>
    </row>
    <row r="33" spans="1:12" s="147" customFormat="1" ht="14.25">
      <c r="A33" s="146"/>
      <c r="E33" s="156"/>
      <c r="F33" s="156"/>
      <c r="G33" s="156"/>
      <c r="H33" s="156"/>
      <c r="I33" s="156"/>
      <c r="J33" s="156"/>
      <c r="K33" s="156"/>
    </row>
    <row r="34" spans="1:12" s="147" customFormat="1" ht="14.25">
      <c r="A34" s="157"/>
      <c r="E34" s="146"/>
      <c r="F34" s="146"/>
      <c r="G34" s="146"/>
      <c r="H34" s="146"/>
      <c r="I34" s="146"/>
      <c r="J34" s="146"/>
      <c r="K34" s="146"/>
    </row>
    <row r="35" spans="1:12" s="147" customFormat="1" ht="14.25">
      <c r="A35" s="146"/>
      <c r="F35" s="156"/>
      <c r="G35" s="156"/>
      <c r="H35" s="156"/>
      <c r="I35" s="156"/>
      <c r="J35" s="156"/>
      <c r="K35" s="156"/>
      <c r="L35" s="156"/>
    </row>
    <row r="36" spans="1:12" s="147" customFormat="1" ht="14.25">
      <c r="A36" s="146"/>
      <c r="B36" s="156"/>
      <c r="C36" s="156"/>
      <c r="D36" s="156"/>
      <c r="F36" s="156"/>
      <c r="G36" s="156"/>
      <c r="H36" s="156"/>
      <c r="I36" s="156"/>
      <c r="J36" s="156"/>
      <c r="K36" s="156"/>
      <c r="L36" s="156"/>
    </row>
    <row r="37" spans="1:12"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pans="1:12"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pans="1:12">
      <c r="E39" s="156"/>
    </row>
    <row r="40" spans="1:12">
      <c r="B40" s="156"/>
      <c r="C40" s="156"/>
      <c r="D40" s="156"/>
    </row>
    <row r="41" spans="1:12"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</row>
    <row r="42" spans="1:12">
      <c r="B42" s="156"/>
      <c r="C42" s="156"/>
      <c r="D42" s="156"/>
      <c r="E42" s="156"/>
    </row>
    <row r="43" spans="1:12">
      <c r="B43" s="156"/>
      <c r="C43" s="156"/>
      <c r="D43" s="156"/>
      <c r="E43" s="156"/>
    </row>
    <row r="44" spans="1:12">
      <c r="E44" s="156"/>
    </row>
    <row r="46" spans="1:12">
      <c r="B46" s="156"/>
      <c r="C46" s="156"/>
      <c r="D46" s="156"/>
    </row>
    <row r="47" spans="1:12">
      <c r="E47" s="15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8" customFormat="1" ht="21.75" thickBot="1">
      <c r="A1" s="18" t="s">
        <v>5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30368</v>
      </c>
      <c r="C3" s="9">
        <v>27812</v>
      </c>
      <c r="D3" s="10" t="s">
        <v>9</v>
      </c>
      <c r="F3" s="17">
        <f>B3/(SUM($B$3:$B$6))</f>
        <v>0.85695741738860509</v>
      </c>
      <c r="G3" s="17">
        <f>C3/(SUM($C$3:$C$6))</f>
        <v>0.8625748224420805</v>
      </c>
    </row>
    <row r="4" spans="1:7">
      <c r="A4" s="8" t="s">
        <v>10</v>
      </c>
      <c r="B4" s="9">
        <v>2447</v>
      </c>
      <c r="C4" s="9">
        <v>2075</v>
      </c>
      <c r="D4" s="10" t="s">
        <v>9</v>
      </c>
      <c r="F4" s="17">
        <f t="shared" ref="F4:F6" si="0">B4/(SUM($B$3:$B$6))</f>
        <v>6.9052120664841829E-2</v>
      </c>
      <c r="G4" s="17">
        <f>C4/(SUM($C$3:$C$6))</f>
        <v>6.4355053810129334E-2</v>
      </c>
    </row>
    <row r="5" spans="1:7">
      <c r="A5" s="8" t="s">
        <v>11</v>
      </c>
      <c r="B5" s="9">
        <v>2236</v>
      </c>
      <c r="C5" s="9">
        <v>1979</v>
      </c>
      <c r="D5" s="10" t="s">
        <v>9</v>
      </c>
      <c r="F5" s="17">
        <f t="shared" si="0"/>
        <v>6.3097892033750033E-2</v>
      </c>
      <c r="G5" s="17">
        <f>C5/(SUM($C$3:$C$6))</f>
        <v>6.1377663368793224E-2</v>
      </c>
    </row>
    <row r="6" spans="1:7" ht="15.75" thickBot="1">
      <c r="A6" s="11" t="s">
        <v>12</v>
      </c>
      <c r="B6" s="12">
        <v>386</v>
      </c>
      <c r="C6" s="12">
        <v>377</v>
      </c>
      <c r="D6" s="13" t="s">
        <v>9</v>
      </c>
      <c r="F6" s="17">
        <f t="shared" si="0"/>
        <v>1.0892569912803003E-2</v>
      </c>
      <c r="G6" s="17">
        <f>C6/(SUM($C$3:$C$6))</f>
        <v>1.1692460378996992E-2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14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101792.8018842434</v>
      </c>
      <c r="C3" s="9">
        <v>99699.388014112352</v>
      </c>
      <c r="D3" s="10" t="s">
        <v>9</v>
      </c>
      <c r="F3" s="17">
        <f>B3/(SUM($B$3:$B$6))</f>
        <v>0.7365988283360474</v>
      </c>
      <c r="G3" s="17">
        <f>C3/(SUM($C$3:$C$6))</f>
        <v>0.7365988283360474</v>
      </c>
    </row>
    <row r="4" spans="1:7">
      <c r="A4" s="8" t="s">
        <v>10</v>
      </c>
      <c r="B4" s="9">
        <v>13418.206100770602</v>
      </c>
      <c r="C4" s="9">
        <v>13142.254773725166</v>
      </c>
      <c r="D4" s="10" t="s">
        <v>9</v>
      </c>
      <c r="F4" s="17">
        <f t="shared" ref="F4:F6" si="0">B4/(SUM($B$3:$B$6))</f>
        <v>9.7097581648640685E-2</v>
      </c>
      <c r="G4" s="17">
        <f>C4/(SUM($C$3:$C$6))</f>
        <v>9.7097581648640685E-2</v>
      </c>
    </row>
    <row r="5" spans="1:7">
      <c r="A5" s="8" t="s">
        <v>11</v>
      </c>
      <c r="B5" s="9">
        <v>11366.399762828487</v>
      </c>
      <c r="C5" s="9">
        <v>11132.644738145917</v>
      </c>
      <c r="D5" s="10" t="s">
        <v>9</v>
      </c>
      <c r="F5" s="17">
        <f t="shared" si="0"/>
        <v>8.2250184617371991E-2</v>
      </c>
      <c r="G5" s="17">
        <f>C5/(SUM($C$3:$C$6))</f>
        <v>8.2250184617371991E-2</v>
      </c>
    </row>
    <row r="6" spans="1:7" ht="15.75" thickBot="1">
      <c r="A6" s="11" t="s">
        <v>12</v>
      </c>
      <c r="B6" s="12">
        <v>11615.592252157505</v>
      </c>
      <c r="C6" s="12">
        <v>11376.71247401656</v>
      </c>
      <c r="D6" s="13" t="s">
        <v>9</v>
      </c>
      <c r="F6" s="17">
        <f t="shared" si="0"/>
        <v>8.4053405397939873E-2</v>
      </c>
      <c r="G6" s="17">
        <f>C6/(SUM($C$3:$C$6))</f>
        <v>8.4053405397939873E-2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pageSetup paperSize="9" scale="8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4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9477.9</v>
      </c>
      <c r="C3" s="9">
        <v>8415.1</v>
      </c>
      <c r="D3" s="10" t="s">
        <v>9</v>
      </c>
      <c r="F3" s="17">
        <f>B3/(SUM($B$3:$B$6))</f>
        <v>0.5916809209294196</v>
      </c>
      <c r="G3" s="17">
        <f>C3/(SUM($C$3:$C$6))</f>
        <v>0.52345407157208534</v>
      </c>
    </row>
    <row r="4" spans="1:7">
      <c r="A4" s="8" t="s">
        <v>10</v>
      </c>
      <c r="B4" s="9">
        <v>1798.1</v>
      </c>
      <c r="C4" s="9">
        <v>1472.9</v>
      </c>
      <c r="D4" s="10" t="s">
        <v>9</v>
      </c>
      <c r="F4" s="17">
        <f t="shared" ref="F4:F6" si="0">B4/(SUM($B$3:$B$6))</f>
        <v>0.1122507584932516</v>
      </c>
      <c r="G4" s="17">
        <f>C4/(SUM($C$3:$C$6))</f>
        <v>9.162048009156451E-2</v>
      </c>
    </row>
    <row r="5" spans="1:7">
      <c r="A5" s="8" t="s">
        <v>11</v>
      </c>
      <c r="B5" s="9">
        <v>1535.4</v>
      </c>
      <c r="C5" s="9">
        <v>1204.4000000000001</v>
      </c>
      <c r="D5" s="10" t="s">
        <v>9</v>
      </c>
      <c r="F5" s="17">
        <f t="shared" si="0"/>
        <v>9.5851073127489306E-2</v>
      </c>
      <c r="G5" s="17">
        <f>C5/(SUM($C$3:$C$6))</f>
        <v>7.4918668084921106E-2</v>
      </c>
    </row>
    <row r="6" spans="1:7" ht="15.75" thickBot="1">
      <c r="A6" s="11" t="s">
        <v>12</v>
      </c>
      <c r="B6" s="12">
        <v>3207.2</v>
      </c>
      <c r="C6" s="12">
        <v>4983.7</v>
      </c>
      <c r="D6" s="13" t="s">
        <v>9</v>
      </c>
      <c r="F6" s="17">
        <f t="shared" si="0"/>
        <v>0.20021724744983957</v>
      </c>
      <c r="G6" s="17">
        <f>C6/(SUM($C$3:$C$6))</f>
        <v>0.31000678025142914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15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/>
      <c r="C3" s="9"/>
      <c r="D3" s="10" t="s">
        <v>9</v>
      </c>
      <c r="F3" s="17" t="e">
        <f>B3/(SUM($B$3:$B$6))</f>
        <v>#DIV/0!</v>
      </c>
      <c r="G3" s="17" t="e">
        <f>C3/(SUM($C$3:$C$6))</f>
        <v>#DIV/0!</v>
      </c>
    </row>
    <row r="4" spans="1:7">
      <c r="A4" s="8" t="s">
        <v>10</v>
      </c>
      <c r="B4" s="9"/>
      <c r="C4" s="9"/>
      <c r="D4" s="10" t="s">
        <v>9</v>
      </c>
      <c r="F4" s="17" t="e">
        <f t="shared" ref="F4:F6" si="0">B4/(SUM($B$3:$B$6))</f>
        <v>#DIV/0!</v>
      </c>
      <c r="G4" s="17" t="e">
        <f>C4/(SUM($C$3:$C$6))</f>
        <v>#DIV/0!</v>
      </c>
    </row>
    <row r="5" spans="1:7">
      <c r="A5" s="8" t="s">
        <v>11</v>
      </c>
      <c r="B5" s="9"/>
      <c r="C5" s="9"/>
      <c r="D5" s="10" t="s">
        <v>9</v>
      </c>
      <c r="F5" s="17" t="e">
        <f t="shared" si="0"/>
        <v>#DIV/0!</v>
      </c>
      <c r="G5" s="17" t="e">
        <f>C5/(SUM($C$3:$C$6))</f>
        <v>#DIV/0!</v>
      </c>
    </row>
    <row r="6" spans="1:7" ht="15.75" thickBot="1">
      <c r="A6" s="11" t="s">
        <v>12</v>
      </c>
      <c r="B6" s="12"/>
      <c r="C6" s="12"/>
      <c r="D6" s="13" t="s">
        <v>9</v>
      </c>
      <c r="F6" s="17" t="e">
        <f t="shared" si="0"/>
        <v>#DIV/0!</v>
      </c>
      <c r="G6" s="17" t="e">
        <f>C6/(SUM($C$3:$C$6))</f>
        <v>#DIV/0!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9"/>
  <sheetViews>
    <sheetView workbookViewId="0"/>
  </sheetViews>
  <sheetFormatPr defaultRowHeight="15"/>
  <cols>
    <col min="1" max="1" width="16.7109375" bestFit="1" customWidth="1"/>
    <col min="2" max="2" width="13.42578125" bestFit="1" customWidth="1"/>
    <col min="3" max="3" width="11" bestFit="1" customWidth="1"/>
  </cols>
  <sheetData>
    <row r="1" spans="1:7" s="19" customFormat="1" ht="21.75" thickBot="1">
      <c r="A1" s="19" t="s">
        <v>0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42408.934000000001</v>
      </c>
      <c r="C3" s="9">
        <v>43648.752999999997</v>
      </c>
      <c r="D3" s="10" t="s">
        <v>9</v>
      </c>
      <c r="F3" s="17">
        <f>B3/(SUM($B$3:$B$6))</f>
        <v>0.81671196055911954</v>
      </c>
      <c r="G3" s="17">
        <f>C3/(SUM($C$3:$C$6))</f>
        <v>0.82806984267684292</v>
      </c>
    </row>
    <row r="4" spans="1:7">
      <c r="A4" s="8" t="s">
        <v>10</v>
      </c>
      <c r="B4" s="9">
        <v>4858.2240000000002</v>
      </c>
      <c r="C4" s="9">
        <v>4822.2039999999997</v>
      </c>
      <c r="D4" s="10" t="s">
        <v>9</v>
      </c>
      <c r="F4" s="17">
        <f t="shared" ref="F4:F6" si="0">B4/(SUM($B$3:$B$6))</f>
        <v>9.3559759079899718E-2</v>
      </c>
      <c r="G4" s="17">
        <f>C4/(SUM($C$3:$C$6))</f>
        <v>9.1483064994677926E-2</v>
      </c>
    </row>
    <row r="5" spans="1:7">
      <c r="A5" s="8" t="s">
        <v>11</v>
      </c>
      <c r="B5" s="9">
        <v>3659.27</v>
      </c>
      <c r="C5" s="9">
        <v>3785.1889999999999</v>
      </c>
      <c r="D5" s="10" t="s">
        <v>9</v>
      </c>
      <c r="F5" s="17">
        <f t="shared" si="0"/>
        <v>7.047028288697775E-2</v>
      </c>
      <c r="G5" s="17">
        <f>C5/(SUM($C$3:$C$6))</f>
        <v>7.1809631302230253E-2</v>
      </c>
    </row>
    <row r="6" spans="1:7" ht="15.75" thickBot="1">
      <c r="A6" s="11" t="s">
        <v>12</v>
      </c>
      <c r="B6" s="12">
        <v>999.99900000000002</v>
      </c>
      <c r="C6" s="12">
        <v>455.29300000000001</v>
      </c>
      <c r="D6" s="13" t="s">
        <v>9</v>
      </c>
      <c r="F6" s="17">
        <f t="shared" si="0"/>
        <v>1.9257997474002978E-2</v>
      </c>
      <c r="G6" s="17">
        <f>C6/(SUM($C$3:$C$6))</f>
        <v>8.6374610262489725E-3</v>
      </c>
    </row>
    <row r="8" spans="1:7">
      <c r="A8" s="14" t="s">
        <v>13</v>
      </c>
      <c r="B8" s="15"/>
    </row>
    <row r="26" spans="2:3">
      <c r="B26" s="16"/>
      <c r="C26" s="16"/>
    </row>
    <row r="27" spans="2:3">
      <c r="B27" s="16"/>
      <c r="C27" s="16"/>
    </row>
    <row r="28" spans="2:3">
      <c r="B28" s="16"/>
      <c r="C28" s="16"/>
    </row>
    <row r="29" spans="2:3">
      <c r="B29" s="16"/>
      <c r="C29" s="16"/>
    </row>
  </sheetData>
  <sheetProtection selectLockedCells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D877-002E-4EB0-9504-23D0919B9C8D}">
  <dimension ref="A1:BB97"/>
  <sheetViews>
    <sheetView workbookViewId="0">
      <selection activeCell="C15" sqref="C15"/>
    </sheetView>
  </sheetViews>
  <sheetFormatPr defaultColWidth="9.140625" defaultRowHeight="15"/>
  <cols>
    <col min="1" max="1" width="17.28515625" style="21" bestFit="1" customWidth="1"/>
    <col min="2" max="2" width="25.140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0.57031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s="107" customFormat="1"/>
    <row r="3" spans="1:54" s="107" customFormat="1" ht="15.75" thickBot="1">
      <c r="A3" s="107" t="s">
        <v>20</v>
      </c>
      <c r="C3" s="107">
        <v>2020</v>
      </c>
    </row>
    <row r="4" spans="1:54" s="107" customFormat="1" ht="15.75" thickBot="1">
      <c r="A4" s="42" t="s">
        <v>31</v>
      </c>
      <c r="B4" s="44" t="s">
        <v>55</v>
      </c>
      <c r="C4" s="43" t="s">
        <v>32</v>
      </c>
      <c r="D4" s="44" t="s">
        <v>33</v>
      </c>
      <c r="E4" s="44" t="s">
        <v>34</v>
      </c>
      <c r="F4" s="45" t="s">
        <v>35</v>
      </c>
    </row>
    <row r="5" spans="1:54" s="107" customFormat="1">
      <c r="A5" s="27" t="s">
        <v>36</v>
      </c>
      <c r="B5" s="33" t="s">
        <v>58</v>
      </c>
      <c r="C5" s="28">
        <v>6500</v>
      </c>
      <c r="D5" s="29">
        <v>5000</v>
      </c>
      <c r="E5" s="29">
        <f t="shared" ref="E5:E14" si="0">C5-D5</f>
        <v>1500</v>
      </c>
      <c r="F5" s="30">
        <f t="shared" ref="F5:F14" si="1">E5/C5</f>
        <v>0.23076923076923078</v>
      </c>
    </row>
    <row r="6" spans="1:54" s="107" customFormat="1">
      <c r="A6" s="31" t="s">
        <v>37</v>
      </c>
      <c r="B6" s="29" t="s">
        <v>175</v>
      </c>
      <c r="C6" s="32">
        <v>13589</v>
      </c>
      <c r="D6" s="33">
        <v>10527</v>
      </c>
      <c r="E6" s="33">
        <f t="shared" si="0"/>
        <v>3062</v>
      </c>
      <c r="F6" s="34">
        <f t="shared" si="1"/>
        <v>0.22532931047170507</v>
      </c>
    </row>
    <row r="7" spans="1:54" s="107" customFormat="1">
      <c r="A7" s="31" t="s">
        <v>20</v>
      </c>
      <c r="B7" s="29" t="s">
        <v>187</v>
      </c>
      <c r="C7" s="32">
        <v>123506</v>
      </c>
      <c r="D7" s="33">
        <v>95442</v>
      </c>
      <c r="E7" s="33">
        <f t="shared" si="0"/>
        <v>28064</v>
      </c>
      <c r="F7" s="34">
        <f t="shared" si="1"/>
        <v>0.22722782698816252</v>
      </c>
    </row>
    <row r="8" spans="1:54" s="107" customFormat="1">
      <c r="A8" s="31" t="s">
        <v>38</v>
      </c>
      <c r="B8" s="33" t="s">
        <v>179</v>
      </c>
      <c r="C8" s="32">
        <v>39012</v>
      </c>
      <c r="D8" s="33">
        <v>29689</v>
      </c>
      <c r="E8" s="33">
        <f t="shared" si="0"/>
        <v>9323</v>
      </c>
      <c r="F8" s="34">
        <f t="shared" si="1"/>
        <v>0.23897775043576336</v>
      </c>
    </row>
    <row r="9" spans="1:54" s="107" customFormat="1">
      <c r="A9" s="31" t="s">
        <v>39</v>
      </c>
      <c r="B9" s="33" t="s">
        <v>58</v>
      </c>
      <c r="C9" s="32">
        <v>5909</v>
      </c>
      <c r="D9" s="33">
        <v>4100</v>
      </c>
      <c r="E9" s="33">
        <f t="shared" si="0"/>
        <v>1809</v>
      </c>
      <c r="F9" s="34">
        <f t="shared" si="1"/>
        <v>0.30614317143340669</v>
      </c>
    </row>
    <row r="10" spans="1:54" s="107" customFormat="1">
      <c r="A10" s="31" t="s">
        <v>40</v>
      </c>
      <c r="B10" s="33" t="s">
        <v>58</v>
      </c>
      <c r="C10" s="32">
        <v>2835</v>
      </c>
      <c r="D10" s="33">
        <v>1805</v>
      </c>
      <c r="E10" s="33">
        <f t="shared" si="0"/>
        <v>1030</v>
      </c>
      <c r="F10" s="34">
        <f t="shared" si="1"/>
        <v>0.36331569664902996</v>
      </c>
    </row>
    <row r="11" spans="1:54" s="107" customFormat="1">
      <c r="A11" s="31" t="s">
        <v>41</v>
      </c>
      <c r="B11" s="33" t="s">
        <v>177</v>
      </c>
      <c r="C11" s="32">
        <v>47507</v>
      </c>
      <c r="D11" s="33">
        <v>33760</v>
      </c>
      <c r="E11" s="33">
        <f t="shared" si="0"/>
        <v>13747</v>
      </c>
      <c r="F11" s="34">
        <f t="shared" si="1"/>
        <v>0.28936788262782326</v>
      </c>
    </row>
    <row r="12" spans="1:54" s="107" customFormat="1">
      <c r="A12" s="31" t="s">
        <v>42</v>
      </c>
      <c r="B12" s="33" t="s">
        <v>175</v>
      </c>
      <c r="C12" s="32">
        <v>10453</v>
      </c>
      <c r="D12" s="33">
        <v>8317</v>
      </c>
      <c r="E12" s="33">
        <f t="shared" si="0"/>
        <v>2136</v>
      </c>
      <c r="F12" s="34">
        <f t="shared" si="1"/>
        <v>0.20434325074141393</v>
      </c>
    </row>
    <row r="13" spans="1:54" s="107" customFormat="1">
      <c r="A13" s="31" t="s">
        <v>44</v>
      </c>
      <c r="B13" s="33" t="s">
        <v>58</v>
      </c>
      <c r="C13" s="32">
        <v>5121</v>
      </c>
      <c r="D13" s="33">
        <v>2270</v>
      </c>
      <c r="E13" s="33">
        <f t="shared" si="0"/>
        <v>2851</v>
      </c>
      <c r="F13" s="34">
        <f t="shared" si="1"/>
        <v>0.55672720171841439</v>
      </c>
    </row>
    <row r="14" spans="1:54" s="107" customFormat="1" ht="15.75" thickBot="1">
      <c r="A14" s="47" t="s">
        <v>45</v>
      </c>
      <c r="B14" s="50" t="s">
        <v>58</v>
      </c>
      <c r="C14" s="36">
        <v>8338</v>
      </c>
      <c r="D14" s="37">
        <v>6327</v>
      </c>
      <c r="E14" s="37">
        <f t="shared" si="0"/>
        <v>2011</v>
      </c>
      <c r="F14" s="38">
        <f t="shared" si="1"/>
        <v>0.24118493643559608</v>
      </c>
    </row>
    <row r="15" spans="1:54" s="107" customFormat="1" ht="15.75" thickBot="1">
      <c r="A15" s="49" t="s">
        <v>46</v>
      </c>
      <c r="B15" s="48"/>
      <c r="C15" s="41">
        <f>SUM(C5:C14)</f>
        <v>262770</v>
      </c>
      <c r="D15" s="41">
        <f>SUM(D5:D14)</f>
        <v>197237</v>
      </c>
      <c r="E15" s="41">
        <f>SUM(E5:E14)</f>
        <v>65533</v>
      </c>
      <c r="F15" s="95">
        <f>E15/C15</f>
        <v>0.24939300528979716</v>
      </c>
    </row>
    <row r="16" spans="1:54" s="107" customFormat="1"/>
    <row r="17" spans="1:9" ht="15.75" thickBot="1">
      <c r="A17" s="21" t="s">
        <v>20</v>
      </c>
      <c r="C17" s="21">
        <v>2018</v>
      </c>
    </row>
    <row r="18" spans="1:9" ht="15.75" thickBot="1">
      <c r="A18" s="42" t="s">
        <v>31</v>
      </c>
      <c r="B18" s="44" t="s">
        <v>55</v>
      </c>
      <c r="C18" s="43" t="s">
        <v>32</v>
      </c>
      <c r="D18" s="44" t="s">
        <v>33</v>
      </c>
      <c r="E18" s="44" t="s">
        <v>34</v>
      </c>
      <c r="F18" s="45" t="s">
        <v>35</v>
      </c>
    </row>
    <row r="19" spans="1:9">
      <c r="A19" s="27" t="s">
        <v>36</v>
      </c>
      <c r="B19" s="33" t="s">
        <v>58</v>
      </c>
      <c r="C19" s="28">
        <v>6500</v>
      </c>
      <c r="D19" s="29">
        <v>5000</v>
      </c>
      <c r="E19" s="29">
        <f t="shared" ref="E19:E28" si="2">C19-D19</f>
        <v>1500</v>
      </c>
      <c r="F19" s="30">
        <f t="shared" ref="F19:F28" si="3">E19/C19</f>
        <v>0.23076923076923078</v>
      </c>
    </row>
    <row r="20" spans="1:9">
      <c r="A20" s="31" t="s">
        <v>37</v>
      </c>
      <c r="B20" s="29" t="s">
        <v>175</v>
      </c>
      <c r="C20" s="32">
        <v>13589</v>
      </c>
      <c r="D20" s="33">
        <v>10527</v>
      </c>
      <c r="E20" s="33">
        <f t="shared" si="2"/>
        <v>3062</v>
      </c>
      <c r="F20" s="34">
        <f t="shared" si="3"/>
        <v>0.22532931047170507</v>
      </c>
    </row>
    <row r="21" spans="1:9">
      <c r="A21" s="31" t="s">
        <v>20</v>
      </c>
      <c r="B21" s="29" t="s">
        <v>187</v>
      </c>
      <c r="C21" s="32">
        <v>123506</v>
      </c>
      <c r="D21" s="33">
        <v>95442</v>
      </c>
      <c r="E21" s="33">
        <f t="shared" si="2"/>
        <v>28064</v>
      </c>
      <c r="F21" s="34">
        <f t="shared" si="3"/>
        <v>0.22722782698816252</v>
      </c>
    </row>
    <row r="22" spans="1:9">
      <c r="A22" s="31" t="s">
        <v>38</v>
      </c>
      <c r="B22" s="33" t="s">
        <v>179</v>
      </c>
      <c r="C22" s="32">
        <v>39012</v>
      </c>
      <c r="D22" s="33">
        <v>29689</v>
      </c>
      <c r="E22" s="33">
        <f t="shared" si="2"/>
        <v>9323</v>
      </c>
      <c r="F22" s="34">
        <f t="shared" si="3"/>
        <v>0.23897775043576336</v>
      </c>
    </row>
    <row r="23" spans="1:9">
      <c r="A23" s="31" t="s">
        <v>39</v>
      </c>
      <c r="B23" s="33" t="s">
        <v>58</v>
      </c>
      <c r="C23" s="32">
        <v>5909</v>
      </c>
      <c r="D23" s="33">
        <v>4100</v>
      </c>
      <c r="E23" s="33">
        <f t="shared" si="2"/>
        <v>1809</v>
      </c>
      <c r="F23" s="34">
        <f t="shared" si="3"/>
        <v>0.30614317143340669</v>
      </c>
    </row>
    <row r="24" spans="1:9">
      <c r="A24" s="31" t="s">
        <v>40</v>
      </c>
      <c r="B24" s="33" t="s">
        <v>58</v>
      </c>
      <c r="C24" s="32">
        <v>2835</v>
      </c>
      <c r="D24" s="33">
        <v>1805</v>
      </c>
      <c r="E24" s="33">
        <f t="shared" si="2"/>
        <v>1030</v>
      </c>
      <c r="F24" s="34">
        <f t="shared" si="3"/>
        <v>0.36331569664902996</v>
      </c>
    </row>
    <row r="25" spans="1:9">
      <c r="A25" s="31" t="s">
        <v>41</v>
      </c>
      <c r="B25" s="33" t="s">
        <v>177</v>
      </c>
      <c r="C25" s="32">
        <v>47507</v>
      </c>
      <c r="D25" s="33">
        <v>33760</v>
      </c>
      <c r="E25" s="33">
        <f t="shared" si="2"/>
        <v>13747</v>
      </c>
      <c r="F25" s="34">
        <f t="shared" si="3"/>
        <v>0.28936788262782326</v>
      </c>
      <c r="H25" s="105"/>
      <c r="I25" s="105"/>
    </row>
    <row r="26" spans="1:9">
      <c r="A26" s="31" t="s">
        <v>42</v>
      </c>
      <c r="B26" s="33" t="s">
        <v>175</v>
      </c>
      <c r="C26" s="32">
        <v>10453</v>
      </c>
      <c r="D26" s="33">
        <v>8317</v>
      </c>
      <c r="E26" s="33">
        <f t="shared" si="2"/>
        <v>2136</v>
      </c>
      <c r="F26" s="34">
        <f t="shared" si="3"/>
        <v>0.20434325074141393</v>
      </c>
    </row>
    <row r="27" spans="1:9">
      <c r="A27" s="31" t="s">
        <v>44</v>
      </c>
      <c r="B27" s="33" t="s">
        <v>58</v>
      </c>
      <c r="C27" s="32">
        <v>5121</v>
      </c>
      <c r="D27" s="33">
        <v>2270</v>
      </c>
      <c r="E27" s="33">
        <f t="shared" si="2"/>
        <v>2851</v>
      </c>
      <c r="F27" s="34">
        <f t="shared" si="3"/>
        <v>0.55672720171841439</v>
      </c>
    </row>
    <row r="28" spans="1:9" ht="15.75" thickBot="1">
      <c r="A28" s="47" t="s">
        <v>45</v>
      </c>
      <c r="B28" s="50" t="s">
        <v>58</v>
      </c>
      <c r="C28" s="36">
        <v>8338</v>
      </c>
      <c r="D28" s="37">
        <v>6327</v>
      </c>
      <c r="E28" s="37">
        <f t="shared" si="2"/>
        <v>2011</v>
      </c>
      <c r="F28" s="38">
        <f t="shared" si="3"/>
        <v>0.24118493643559608</v>
      </c>
    </row>
    <row r="29" spans="1:9" ht="15.75" thickBot="1">
      <c r="A29" s="49" t="s">
        <v>46</v>
      </c>
      <c r="B29" s="48"/>
      <c r="C29" s="41">
        <f>SUM(C19:C28)</f>
        <v>262770</v>
      </c>
      <c r="D29" s="41">
        <f>SUM(D19:D28)</f>
        <v>197237</v>
      </c>
      <c r="E29" s="41">
        <f>SUM(E19:E28)</f>
        <v>65533</v>
      </c>
      <c r="F29" s="95">
        <f>E29/C29</f>
        <v>0.24939300528979716</v>
      </c>
    </row>
    <row r="31" spans="1:9" ht="15.75" thickBot="1">
      <c r="A31" s="21" t="s">
        <v>20</v>
      </c>
      <c r="C31" s="21">
        <v>2016</v>
      </c>
    </row>
    <row r="32" spans="1:9" ht="15.75" thickBot="1">
      <c r="A32" s="42" t="s">
        <v>31</v>
      </c>
      <c r="B32" s="44" t="s">
        <v>55</v>
      </c>
      <c r="C32" s="43" t="s">
        <v>32</v>
      </c>
      <c r="D32" s="44" t="s">
        <v>33</v>
      </c>
      <c r="E32" s="44" t="s">
        <v>34</v>
      </c>
      <c r="F32" s="45" t="s">
        <v>35</v>
      </c>
    </row>
    <row r="33" spans="1:6">
      <c r="A33" s="27" t="s">
        <v>36</v>
      </c>
      <c r="B33" s="33" t="s">
        <v>58</v>
      </c>
      <c r="C33" s="28">
        <v>6500</v>
      </c>
      <c r="D33" s="29">
        <v>5000</v>
      </c>
      <c r="E33" s="29">
        <f t="shared" ref="E33:E42" si="4">C33-D33</f>
        <v>1500</v>
      </c>
      <c r="F33" s="30">
        <f t="shared" ref="F33:F42" si="5">E33/C33</f>
        <v>0.23076923076923078</v>
      </c>
    </row>
    <row r="34" spans="1:6">
      <c r="A34" s="31" t="s">
        <v>37</v>
      </c>
      <c r="B34" s="29" t="s">
        <v>56</v>
      </c>
      <c r="C34" s="32">
        <v>12922</v>
      </c>
      <c r="D34" s="33">
        <v>9695</v>
      </c>
      <c r="E34" s="33">
        <f t="shared" si="4"/>
        <v>3227</v>
      </c>
      <c r="F34" s="34">
        <f t="shared" si="5"/>
        <v>0.24972914409534128</v>
      </c>
    </row>
    <row r="35" spans="1:6">
      <c r="A35" s="31" t="s">
        <v>20</v>
      </c>
      <c r="B35" s="29" t="s">
        <v>59</v>
      </c>
      <c r="C35" s="32">
        <v>125810</v>
      </c>
      <c r="D35" s="33">
        <v>98304</v>
      </c>
      <c r="E35" s="33">
        <f t="shared" si="4"/>
        <v>27506</v>
      </c>
      <c r="F35" s="34">
        <f t="shared" si="5"/>
        <v>0.21863126937445354</v>
      </c>
    </row>
    <row r="36" spans="1:6">
      <c r="A36" s="31" t="s">
        <v>38</v>
      </c>
      <c r="B36" s="33" t="s">
        <v>58</v>
      </c>
      <c r="C36" s="32">
        <v>39000</v>
      </c>
      <c r="D36" s="33">
        <v>29000</v>
      </c>
      <c r="E36" s="33">
        <f t="shared" si="4"/>
        <v>10000</v>
      </c>
      <c r="F36" s="34">
        <f t="shared" si="5"/>
        <v>0.25641025641025639</v>
      </c>
    </row>
    <row r="37" spans="1:6">
      <c r="A37" s="31" t="s">
        <v>39</v>
      </c>
      <c r="B37" s="33" t="s">
        <v>58</v>
      </c>
      <c r="C37" s="32">
        <v>5909</v>
      </c>
      <c r="D37" s="33">
        <v>4100</v>
      </c>
      <c r="E37" s="33">
        <f t="shared" si="4"/>
        <v>1809</v>
      </c>
      <c r="F37" s="34">
        <f t="shared" si="5"/>
        <v>0.30614317143340669</v>
      </c>
    </row>
    <row r="38" spans="1:6">
      <c r="A38" s="31" t="s">
        <v>40</v>
      </c>
      <c r="B38" s="33" t="s">
        <v>58</v>
      </c>
      <c r="C38" s="32">
        <v>2835</v>
      </c>
      <c r="D38" s="33">
        <v>1805</v>
      </c>
      <c r="E38" s="33">
        <f t="shared" si="4"/>
        <v>1030</v>
      </c>
      <c r="F38" s="34">
        <f t="shared" si="5"/>
        <v>0.36331569664902996</v>
      </c>
    </row>
    <row r="39" spans="1:6">
      <c r="A39" s="31" t="s">
        <v>41</v>
      </c>
      <c r="B39" s="33" t="s">
        <v>56</v>
      </c>
      <c r="C39" s="32">
        <v>44945</v>
      </c>
      <c r="D39" s="33">
        <v>33007</v>
      </c>
      <c r="E39" s="33">
        <f t="shared" si="4"/>
        <v>11938</v>
      </c>
      <c r="F39" s="34">
        <f t="shared" si="5"/>
        <v>0.26561352764489932</v>
      </c>
    </row>
    <row r="40" spans="1:6">
      <c r="A40" s="31" t="s">
        <v>42</v>
      </c>
      <c r="B40" s="33" t="s">
        <v>56</v>
      </c>
      <c r="C40" s="32">
        <v>9875</v>
      </c>
      <c r="D40" s="33">
        <v>7803</v>
      </c>
      <c r="E40" s="33">
        <f t="shared" si="4"/>
        <v>2072</v>
      </c>
      <c r="F40" s="34">
        <f t="shared" si="5"/>
        <v>0.20982278481012659</v>
      </c>
    </row>
    <row r="41" spans="1:6">
      <c r="A41" s="31" t="s">
        <v>44</v>
      </c>
      <c r="B41" s="33" t="s">
        <v>58</v>
      </c>
      <c r="C41" s="32">
        <v>5121</v>
      </c>
      <c r="D41" s="33">
        <v>2270</v>
      </c>
      <c r="E41" s="33">
        <f t="shared" si="4"/>
        <v>2851</v>
      </c>
      <c r="F41" s="34">
        <f t="shared" si="5"/>
        <v>0.55672720171841439</v>
      </c>
    </row>
    <row r="42" spans="1:6" ht="15.75" thickBot="1">
      <c r="A42" s="47" t="s">
        <v>45</v>
      </c>
      <c r="B42" s="50" t="s">
        <v>58</v>
      </c>
      <c r="C42" s="36">
        <v>8338</v>
      </c>
      <c r="D42" s="37">
        <v>6327</v>
      </c>
      <c r="E42" s="37">
        <f t="shared" si="4"/>
        <v>2011</v>
      </c>
      <c r="F42" s="38">
        <f t="shared" si="5"/>
        <v>0.24118493643559608</v>
      </c>
    </row>
    <row r="43" spans="1:6" ht="15.75" thickBot="1">
      <c r="A43" s="49" t="s">
        <v>46</v>
      </c>
      <c r="B43" s="48"/>
      <c r="C43" s="41">
        <f>SUM(C33:C42)</f>
        <v>261255</v>
      </c>
      <c r="D43" s="41">
        <f>SUM(D33:D42)</f>
        <v>197311</v>
      </c>
      <c r="E43" s="41">
        <f>SUM(E33:E42)</f>
        <v>63944</v>
      </c>
      <c r="F43" s="97">
        <f>E43/C43</f>
        <v>0.24475703814281066</v>
      </c>
    </row>
    <row r="44" spans="1:6">
      <c r="C44"/>
      <c r="D44"/>
      <c r="E44"/>
    </row>
    <row r="45" spans="1:6" ht="15.75" thickBot="1">
      <c r="A45" s="21" t="s">
        <v>20</v>
      </c>
      <c r="B45" s="21">
        <v>2010</v>
      </c>
    </row>
    <row r="46" spans="1:6" ht="15.75" thickBot="1">
      <c r="A46" s="23" t="s">
        <v>31</v>
      </c>
      <c r="B46" s="24" t="s">
        <v>32</v>
      </c>
      <c r="C46" s="25" t="s">
        <v>33</v>
      </c>
      <c r="D46" s="25" t="s">
        <v>34</v>
      </c>
      <c r="E46" s="26" t="s">
        <v>35</v>
      </c>
    </row>
    <row r="47" spans="1:6">
      <c r="A47" s="27" t="s">
        <v>36</v>
      </c>
      <c r="B47" s="28">
        <v>6500</v>
      </c>
      <c r="C47" s="29">
        <v>5000</v>
      </c>
      <c r="D47" s="29">
        <f>B47-C47</f>
        <v>1500</v>
      </c>
      <c r="E47" s="30">
        <f>D47/B47</f>
        <v>0.23076923076923078</v>
      </c>
    </row>
    <row r="48" spans="1:6">
      <c r="A48" s="31" t="s">
        <v>37</v>
      </c>
      <c r="B48" s="32">
        <v>13000</v>
      </c>
      <c r="C48" s="33">
        <v>9555</v>
      </c>
      <c r="D48" s="33">
        <f t="shared" ref="D48:D57" si="6">B48-C48</f>
        <v>3445</v>
      </c>
      <c r="E48" s="34">
        <f t="shared" ref="E48:E57" si="7">D48/B48</f>
        <v>0.26500000000000001</v>
      </c>
    </row>
    <row r="49" spans="1:5">
      <c r="A49" s="31" t="s">
        <v>20</v>
      </c>
      <c r="B49" s="32">
        <v>125000</v>
      </c>
      <c r="C49" s="33">
        <v>90000</v>
      </c>
      <c r="D49" s="33">
        <f t="shared" si="6"/>
        <v>35000</v>
      </c>
      <c r="E49" s="34">
        <f t="shared" si="7"/>
        <v>0.28000000000000003</v>
      </c>
    </row>
    <row r="50" spans="1:5">
      <c r="A50" s="31" t="s">
        <v>38</v>
      </c>
      <c r="B50" s="32">
        <v>39000</v>
      </c>
      <c r="C50" s="33">
        <v>29000</v>
      </c>
      <c r="D50" s="33">
        <f t="shared" si="6"/>
        <v>10000</v>
      </c>
      <c r="E50" s="34">
        <f t="shared" si="7"/>
        <v>0.25641025641025639</v>
      </c>
    </row>
    <row r="51" spans="1:5">
      <c r="A51" s="31" t="s">
        <v>39</v>
      </c>
      <c r="B51" s="32">
        <v>5909</v>
      </c>
      <c r="C51" s="33">
        <v>4100</v>
      </c>
      <c r="D51" s="33">
        <f t="shared" si="6"/>
        <v>1809</v>
      </c>
      <c r="E51" s="34">
        <f t="shared" si="7"/>
        <v>0.30614317143340669</v>
      </c>
    </row>
    <row r="52" spans="1:5">
      <c r="A52" s="31" t="s">
        <v>40</v>
      </c>
      <c r="B52" s="32">
        <v>2835</v>
      </c>
      <c r="C52" s="33">
        <v>1805</v>
      </c>
      <c r="D52" s="33">
        <f t="shared" si="6"/>
        <v>1030</v>
      </c>
      <c r="E52" s="34">
        <f t="shared" si="7"/>
        <v>0.36331569664902996</v>
      </c>
    </row>
    <row r="53" spans="1:5">
      <c r="A53" s="31" t="s">
        <v>41</v>
      </c>
      <c r="B53" s="32">
        <v>35245</v>
      </c>
      <c r="C53" s="33">
        <v>25376</v>
      </c>
      <c r="D53" s="33">
        <f t="shared" si="6"/>
        <v>9869</v>
      </c>
      <c r="E53" s="34">
        <f t="shared" si="7"/>
        <v>0.28001134912753584</v>
      </c>
    </row>
    <row r="54" spans="1:5">
      <c r="A54" s="31" t="s">
        <v>42</v>
      </c>
      <c r="B54" s="32">
        <v>11300</v>
      </c>
      <c r="C54" s="33">
        <v>8014</v>
      </c>
      <c r="D54" s="33">
        <f t="shared" si="6"/>
        <v>3286</v>
      </c>
      <c r="E54" s="34">
        <f t="shared" si="7"/>
        <v>0.29079646017699112</v>
      </c>
    </row>
    <row r="55" spans="1:5">
      <c r="A55" s="31" t="s">
        <v>43</v>
      </c>
      <c r="B55" s="32">
        <v>8700</v>
      </c>
      <c r="C55" s="33">
        <v>6090</v>
      </c>
      <c r="D55" s="33">
        <f t="shared" si="6"/>
        <v>2610</v>
      </c>
      <c r="E55" s="34">
        <f t="shared" si="7"/>
        <v>0.3</v>
      </c>
    </row>
    <row r="56" spans="1:5">
      <c r="A56" s="31" t="s">
        <v>44</v>
      </c>
      <c r="B56" s="32">
        <v>5121</v>
      </c>
      <c r="C56" s="33">
        <v>2270</v>
      </c>
      <c r="D56" s="33">
        <f t="shared" si="6"/>
        <v>2851</v>
      </c>
      <c r="E56" s="34">
        <f t="shared" si="7"/>
        <v>0.55672720171841439</v>
      </c>
    </row>
    <row r="57" spans="1:5" ht="15.75" thickBot="1">
      <c r="A57" s="35" t="s">
        <v>45</v>
      </c>
      <c r="B57" s="36">
        <v>8164</v>
      </c>
      <c r="C57" s="37">
        <v>5700</v>
      </c>
      <c r="D57" s="37">
        <f t="shared" si="6"/>
        <v>2464</v>
      </c>
      <c r="E57" s="38">
        <f t="shared" si="7"/>
        <v>0.30181283684468396</v>
      </c>
    </row>
    <row r="58" spans="1:5" ht="15.75" thickBot="1">
      <c r="A58" s="39" t="s">
        <v>46</v>
      </c>
      <c r="B58" s="40">
        <f>SUM(B47:B57)</f>
        <v>260774</v>
      </c>
      <c r="C58" s="41">
        <f>SUM(C47:C57)</f>
        <v>186910</v>
      </c>
      <c r="D58" s="41">
        <f>SUM(D47:D57)</f>
        <v>73864</v>
      </c>
      <c r="E58" s="97">
        <f>D58/B58</f>
        <v>0.28324909691917138</v>
      </c>
    </row>
    <row r="62" spans="1:5">
      <c r="C62"/>
      <c r="D62"/>
      <c r="E62"/>
    </row>
    <row r="63" spans="1:5">
      <c r="C63"/>
      <c r="D63"/>
      <c r="E63"/>
    </row>
    <row r="64" spans="1:5">
      <c r="C64"/>
      <c r="D64"/>
      <c r="E64"/>
    </row>
    <row r="65" spans="3:5">
      <c r="C65"/>
      <c r="D65"/>
      <c r="E65"/>
    </row>
    <row r="66" spans="3:5">
      <c r="C66"/>
      <c r="D66"/>
      <c r="E66"/>
    </row>
    <row r="91" spans="3:5" s="4" customFormat="1"/>
    <row r="92" spans="3:5">
      <c r="C92"/>
      <c r="D92"/>
      <c r="E92"/>
    </row>
    <row r="93" spans="3:5">
      <c r="C93"/>
      <c r="D93"/>
      <c r="E93"/>
    </row>
    <row r="94" spans="3:5">
      <c r="C94"/>
      <c r="D94"/>
      <c r="E94"/>
    </row>
    <row r="95" spans="3:5">
      <c r="C95"/>
      <c r="D95"/>
      <c r="E95"/>
    </row>
    <row r="96" spans="3:5">
      <c r="C96"/>
      <c r="D96"/>
      <c r="E96"/>
    </row>
    <row r="97" spans="3:5">
      <c r="C97"/>
      <c r="D97"/>
      <c r="E9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3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6970</v>
      </c>
      <c r="C3" s="9">
        <v>6516</v>
      </c>
      <c r="D3" s="10" t="s">
        <v>9</v>
      </c>
      <c r="F3" s="17">
        <f>B3/(SUM($B$3:$B$6))</f>
        <v>0.83065188892861397</v>
      </c>
      <c r="G3" s="17">
        <f>C3/(SUM($C$3:$C$6))</f>
        <v>0.83080453907943386</v>
      </c>
    </row>
    <row r="4" spans="1:7">
      <c r="A4" s="8" t="s">
        <v>10</v>
      </c>
      <c r="B4" s="9">
        <v>737</v>
      </c>
      <c r="C4" s="9">
        <v>689</v>
      </c>
      <c r="D4" s="10" t="s">
        <v>9</v>
      </c>
      <c r="F4" s="17">
        <f t="shared" ref="F4:F6" si="0">B4/(SUM($B$3:$B$6))</f>
        <v>8.7832201167918011E-2</v>
      </c>
      <c r="G4" s="17">
        <f>C4/(SUM($C$3:$C$6))</f>
        <v>8.7849037358153761E-2</v>
      </c>
    </row>
    <row r="5" spans="1:7">
      <c r="A5" s="8" t="s">
        <v>11</v>
      </c>
      <c r="B5" s="9">
        <v>684</v>
      </c>
      <c r="C5" s="9">
        <v>638</v>
      </c>
      <c r="D5" s="10" t="s">
        <v>9</v>
      </c>
      <c r="F5" s="17">
        <f t="shared" si="0"/>
        <v>8.1515909903468006E-2</v>
      </c>
      <c r="G5" s="17">
        <f>C5/(SUM($C$3:$C$6))</f>
        <v>8.134642356241234E-2</v>
      </c>
    </row>
    <row r="6" spans="1:7" ht="15.75" thickBot="1">
      <c r="A6" s="11" t="s">
        <v>12</v>
      </c>
      <c r="B6" s="12"/>
      <c r="C6" s="12"/>
      <c r="D6" s="13" t="s">
        <v>9</v>
      </c>
      <c r="F6" s="17">
        <f t="shared" si="0"/>
        <v>0</v>
      </c>
      <c r="G6" s="17">
        <f>C6/(SUM($C$3:$C$6))</f>
        <v>0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1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35799</v>
      </c>
      <c r="C3" s="9">
        <v>38309</v>
      </c>
      <c r="D3" s="10" t="s">
        <v>9</v>
      </c>
      <c r="F3" s="17">
        <f>B3/(SUM($B$3:$B$6))</f>
        <v>0.59278700468612877</v>
      </c>
      <c r="G3" s="17">
        <f>C3/(SUM($C$3:$C$6))</f>
        <v>0.61367058597379298</v>
      </c>
    </row>
    <row r="4" spans="1:7">
      <c r="A4" s="8" t="s">
        <v>10</v>
      </c>
      <c r="B4" s="9">
        <v>9051</v>
      </c>
      <c r="C4" s="9">
        <v>8876</v>
      </c>
      <c r="D4" s="10" t="s">
        <v>9</v>
      </c>
      <c r="F4" s="17">
        <f t="shared" ref="F4:F6" si="0">B4/(SUM($B$3:$B$6))</f>
        <v>0.14987332549552085</v>
      </c>
      <c r="G4" s="17">
        <f>C4/(SUM($C$3:$C$6))</f>
        <v>0.14218434626597892</v>
      </c>
    </row>
    <row r="5" spans="1:7">
      <c r="A5" s="8" t="s">
        <v>11</v>
      </c>
      <c r="B5" s="9">
        <v>11216</v>
      </c>
      <c r="C5" s="9">
        <v>11000</v>
      </c>
      <c r="D5" s="10" t="s">
        <v>9</v>
      </c>
      <c r="F5" s="17">
        <f t="shared" si="0"/>
        <v>0.18572303820105646</v>
      </c>
      <c r="G5" s="17">
        <f>C5/(SUM($C$3:$C$6))</f>
        <v>0.17620863101912665</v>
      </c>
    </row>
    <row r="6" spans="1:7" ht="15.75" thickBot="1">
      <c r="A6" s="11" t="s">
        <v>12</v>
      </c>
      <c r="B6" s="12">
        <v>4325</v>
      </c>
      <c r="C6" s="12">
        <v>4241</v>
      </c>
      <c r="D6" s="13" t="s">
        <v>9</v>
      </c>
      <c r="F6" s="17">
        <f t="shared" si="0"/>
        <v>7.1616631617293966E-2</v>
      </c>
      <c r="G6" s="17">
        <f>C6/(SUM($C$3:$C$6))</f>
        <v>6.7936436741101461E-2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pageSetup paperSize="9" scale="8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16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564951.48851649568</v>
      </c>
      <c r="C3" s="9">
        <v>540275.0697475773</v>
      </c>
      <c r="D3" s="10" t="s">
        <v>9</v>
      </c>
      <c r="F3" s="17">
        <f>B3/(SUM($B$3:$B$6))</f>
        <v>0.66890884122785388</v>
      </c>
      <c r="G3" s="17">
        <f>C3/(SUM($C$3:$C$6))</f>
        <v>0.66890884122785399</v>
      </c>
    </row>
    <row r="4" spans="1:7">
      <c r="A4" s="8" t="s">
        <v>10</v>
      </c>
      <c r="B4" s="9">
        <v>69480.641138661405</v>
      </c>
      <c r="C4" s="9">
        <v>66445.808180573746</v>
      </c>
      <c r="D4" s="10" t="s">
        <v>9</v>
      </c>
      <c r="F4" s="17">
        <f t="shared" ref="F4:F6" si="0">B4/(SUM($B$3:$B$6))</f>
        <v>8.2265851310299412E-2</v>
      </c>
      <c r="G4" s="17">
        <f>C4/(SUM($C$3:$C$6))</f>
        <v>8.2265851310299412E-2</v>
      </c>
    </row>
    <row r="5" spans="1:7">
      <c r="A5" s="8" t="s">
        <v>11</v>
      </c>
      <c r="B5" s="9">
        <v>104357.17335831515</v>
      </c>
      <c r="C5" s="9">
        <v>99798.97435596805</v>
      </c>
      <c r="D5" s="10" t="s">
        <v>9</v>
      </c>
      <c r="F5" s="17">
        <f t="shared" si="0"/>
        <v>0.12356005307327667</v>
      </c>
      <c r="G5" s="17">
        <f>C5/(SUM($C$3:$C$6))</f>
        <v>0.12356005307327665</v>
      </c>
    </row>
    <row r="6" spans="1:7" ht="15.75" thickBot="1">
      <c r="A6" s="11" t="s">
        <v>12</v>
      </c>
      <c r="B6" s="12">
        <v>105797.36365319438</v>
      </c>
      <c r="C6" s="12">
        <v>101176.25882699204</v>
      </c>
      <c r="D6" s="13" t="s">
        <v>9</v>
      </c>
      <c r="F6" s="17">
        <f t="shared" si="0"/>
        <v>0.12526525438857</v>
      </c>
      <c r="G6" s="17">
        <f>C6/(SUM($C$3:$C$6))</f>
        <v>0.12526525438857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pageSetup paperSize="9" scale="8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2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>
        <v>18815</v>
      </c>
      <c r="C3" s="9">
        <v>19184</v>
      </c>
      <c r="D3" s="10" t="s">
        <v>9</v>
      </c>
      <c r="F3" s="17">
        <f>B3/(SUM($B$3:$B$6))</f>
        <v>0.86366766123479455</v>
      </c>
      <c r="G3" s="17">
        <f>C3/(SUM($C$3:$C$6))</f>
        <v>0.8542928393302458</v>
      </c>
    </row>
    <row r="4" spans="1:7">
      <c r="A4" s="8" t="s">
        <v>10</v>
      </c>
      <c r="B4" s="9">
        <v>2470</v>
      </c>
      <c r="C4" s="9">
        <v>2722</v>
      </c>
      <c r="D4" s="10" t="s">
        <v>9</v>
      </c>
      <c r="F4" s="17">
        <f t="shared" ref="F4:F6" si="0">B4/(SUM($B$3:$B$6))</f>
        <v>0.11338076658251091</v>
      </c>
      <c r="G4" s="17">
        <f>C4/(SUM($C$3:$C$6))</f>
        <v>0.12121482009262557</v>
      </c>
    </row>
    <row r="5" spans="1:7">
      <c r="A5" s="8" t="s">
        <v>11</v>
      </c>
      <c r="B5" s="9">
        <v>500</v>
      </c>
      <c r="C5" s="9">
        <v>550</v>
      </c>
      <c r="D5" s="10" t="s">
        <v>9</v>
      </c>
      <c r="F5" s="17">
        <f t="shared" si="0"/>
        <v>2.2951572182694516E-2</v>
      </c>
      <c r="G5" s="17">
        <f>C5/(SUM($C$3:$C$6))</f>
        <v>2.4492340577128607E-2</v>
      </c>
    </row>
    <row r="6" spans="1:7" ht="15.75" thickBot="1">
      <c r="A6" s="11" t="s">
        <v>12</v>
      </c>
      <c r="B6" s="12"/>
      <c r="C6" s="12"/>
      <c r="D6" s="13" t="s">
        <v>9</v>
      </c>
      <c r="F6" s="17">
        <f t="shared" si="0"/>
        <v>0</v>
      </c>
      <c r="G6" s="17">
        <f>C6/(SUM($C$3:$C$6))</f>
        <v>0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7" s="19" customFormat="1" ht="21.75" thickBot="1">
      <c r="A1" s="19" t="s">
        <v>17</v>
      </c>
    </row>
    <row r="2" spans="1:7">
      <c r="A2" s="5" t="s">
        <v>6</v>
      </c>
      <c r="B2" s="6">
        <v>2011</v>
      </c>
      <c r="C2" s="6">
        <v>2016</v>
      </c>
      <c r="D2" s="7" t="s">
        <v>7</v>
      </c>
      <c r="F2" s="6">
        <v>2011</v>
      </c>
      <c r="G2" s="6">
        <v>2016</v>
      </c>
    </row>
    <row r="3" spans="1:7">
      <c r="A3" s="8" t="s">
        <v>8</v>
      </c>
      <c r="B3" s="9"/>
      <c r="C3" s="9">
        <f>5080*0.8</f>
        <v>4064</v>
      </c>
      <c r="D3" s="10" t="s">
        <v>9</v>
      </c>
      <c r="F3" s="17" t="e">
        <f>B3/(SUM($B$3:$B$6))</f>
        <v>#DIV/0!</v>
      </c>
      <c r="G3" s="17">
        <f>C3/(SUM($C$3:$C$6))</f>
        <v>0.8</v>
      </c>
    </row>
    <row r="4" spans="1:7">
      <c r="A4" s="8" t="s">
        <v>10</v>
      </c>
      <c r="B4" s="9"/>
      <c r="C4" s="9">
        <f>5080*0.15</f>
        <v>762</v>
      </c>
      <c r="D4" s="10" t="s">
        <v>9</v>
      </c>
      <c r="F4" s="17" t="e">
        <f t="shared" ref="F4:F6" si="0">B4/(SUM($B$3:$B$6))</f>
        <v>#DIV/0!</v>
      </c>
      <c r="G4" s="17">
        <f>C4/(SUM($C$3:$C$6))</f>
        <v>0.15</v>
      </c>
    </row>
    <row r="5" spans="1:7">
      <c r="A5" s="8" t="s">
        <v>11</v>
      </c>
      <c r="B5" s="9"/>
      <c r="C5" s="9">
        <f>5080*0.05</f>
        <v>254</v>
      </c>
      <c r="D5" s="10" t="s">
        <v>9</v>
      </c>
      <c r="F5" s="17" t="e">
        <f t="shared" si="0"/>
        <v>#DIV/0!</v>
      </c>
      <c r="G5" s="17">
        <f>C5/(SUM($C$3:$C$6))</f>
        <v>0.05</v>
      </c>
    </row>
    <row r="6" spans="1:7" ht="15.75" thickBot="1">
      <c r="A6" s="11" t="s">
        <v>12</v>
      </c>
      <c r="B6" s="12"/>
      <c r="C6" s="12">
        <v>0</v>
      </c>
      <c r="D6" s="13" t="s">
        <v>9</v>
      </c>
      <c r="F6" s="17" t="e">
        <f t="shared" si="0"/>
        <v>#DIV/0!</v>
      </c>
      <c r="G6" s="17">
        <f>C6/(SUM($C$3:$C$6))</f>
        <v>0</v>
      </c>
    </row>
    <row r="8" spans="1:7">
      <c r="A8" s="14" t="s">
        <v>13</v>
      </c>
      <c r="B8" s="15"/>
    </row>
  </sheetData>
  <sheetProtection selectLockedCells="1"/>
  <pageMargins left="0.7" right="0.7" top="0.75" bottom="0.75" header="0.3" footer="0.3"/>
  <pageSetup paperSize="9" scale="8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8"/>
  <sheetViews>
    <sheetView workbookViewId="0"/>
  </sheetViews>
  <sheetFormatPr defaultRowHeight="15"/>
  <cols>
    <col min="1" max="1" width="16.7109375" bestFit="1" customWidth="1"/>
    <col min="2" max="3" width="10" bestFit="1" customWidth="1"/>
  </cols>
  <sheetData>
    <row r="1" spans="1:4" ht="15.75" thickBot="1"/>
    <row r="2" spans="1:4">
      <c r="A2" s="5" t="s">
        <v>6</v>
      </c>
      <c r="B2" s="6">
        <v>2011</v>
      </c>
      <c r="C2" s="6">
        <v>2016</v>
      </c>
      <c r="D2" s="7" t="s">
        <v>7</v>
      </c>
    </row>
    <row r="3" spans="1:4">
      <c r="A3" s="8" t="s">
        <v>8</v>
      </c>
      <c r="B3" s="9"/>
      <c r="C3" s="9"/>
      <c r="D3" s="10" t="s">
        <v>9</v>
      </c>
    </row>
    <row r="4" spans="1:4">
      <c r="A4" s="8" t="s">
        <v>10</v>
      </c>
      <c r="B4" s="9"/>
      <c r="C4" s="9"/>
      <c r="D4" s="10" t="s">
        <v>9</v>
      </c>
    </row>
    <row r="5" spans="1:4">
      <c r="A5" s="8" t="s">
        <v>11</v>
      </c>
      <c r="B5" s="9"/>
      <c r="C5" s="9"/>
      <c r="D5" s="10" t="s">
        <v>9</v>
      </c>
    </row>
    <row r="6" spans="1:4" ht="15.75" thickBot="1">
      <c r="A6" s="11" t="s">
        <v>12</v>
      </c>
      <c r="B6" s="12">
        <v>0</v>
      </c>
      <c r="C6" s="12">
        <v>0</v>
      </c>
      <c r="D6" s="13" t="s">
        <v>9</v>
      </c>
    </row>
    <row r="8" spans="1:4">
      <c r="A8" s="14" t="s">
        <v>13</v>
      </c>
      <c r="B8" s="15"/>
    </row>
  </sheetData>
  <sheetProtection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41CC-7992-41F2-B8D8-3FED5DB575D9}">
  <dimension ref="A1:CM99"/>
  <sheetViews>
    <sheetView workbookViewId="0">
      <selection activeCell="F15" sqref="F15"/>
    </sheetView>
  </sheetViews>
  <sheetFormatPr defaultColWidth="9.140625" defaultRowHeight="15"/>
  <cols>
    <col min="1" max="1" width="13.7109375" style="21" bestFit="1" customWidth="1"/>
    <col min="2" max="2" width="19.28515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0.5703125" style="21" bestFit="1" customWidth="1"/>
    <col min="7" max="7" width="14.710937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21</v>
      </c>
      <c r="C3" s="107">
        <v>2020</v>
      </c>
    </row>
    <row r="4" spans="1:54" s="107" customFormat="1" ht="15.75" thickBot="1">
      <c r="A4" s="42" t="s">
        <v>31</v>
      </c>
      <c r="B4" s="44" t="s">
        <v>55</v>
      </c>
      <c r="C4" s="43" t="s">
        <v>32</v>
      </c>
      <c r="D4" s="44" t="s">
        <v>33</v>
      </c>
      <c r="E4" s="44" t="s">
        <v>34</v>
      </c>
      <c r="F4" s="45" t="s">
        <v>35</v>
      </c>
    </row>
    <row r="5" spans="1:54" s="107" customFormat="1">
      <c r="A5" s="27" t="s">
        <v>47</v>
      </c>
      <c r="B5" s="29" t="s">
        <v>196</v>
      </c>
      <c r="C5" s="28">
        <v>81448</v>
      </c>
      <c r="D5" s="29">
        <f>61.981*1000</f>
        <v>61981</v>
      </c>
      <c r="E5" s="29">
        <f>C5-D5</f>
        <v>19467</v>
      </c>
      <c r="F5" s="30">
        <f>E5/C5</f>
        <v>0.23901139377271388</v>
      </c>
    </row>
    <row r="6" spans="1:54" s="107" customFormat="1">
      <c r="A6" s="31" t="s">
        <v>48</v>
      </c>
      <c r="B6" s="29" t="s">
        <v>196</v>
      </c>
      <c r="C6" s="32">
        <v>22056</v>
      </c>
      <c r="D6" s="33">
        <v>16837</v>
      </c>
      <c r="E6" s="33">
        <f t="shared" ref="E6:E14" si="0">C6-D6</f>
        <v>5219</v>
      </c>
      <c r="F6" s="34">
        <f t="shared" ref="F6:F14" si="1">E6/C6</f>
        <v>0.23662495466086325</v>
      </c>
    </row>
    <row r="7" spans="1:54" s="107" customFormat="1">
      <c r="A7" s="31" t="s">
        <v>21</v>
      </c>
      <c r="B7" s="29" t="s">
        <v>57</v>
      </c>
      <c r="C7" s="32">
        <v>204270</v>
      </c>
      <c r="D7" s="33">
        <v>167646</v>
      </c>
      <c r="E7" s="33">
        <f t="shared" si="0"/>
        <v>36624</v>
      </c>
      <c r="F7" s="34">
        <f t="shared" si="1"/>
        <v>0.17929211337935086</v>
      </c>
    </row>
    <row r="8" spans="1:54" s="107" customFormat="1">
      <c r="A8" s="31" t="s">
        <v>49</v>
      </c>
      <c r="B8" s="29" t="s">
        <v>177</v>
      </c>
      <c r="C8" s="32">
        <v>15876</v>
      </c>
      <c r="D8" s="33">
        <v>12584</v>
      </c>
      <c r="E8" s="33">
        <f t="shared" si="0"/>
        <v>3292</v>
      </c>
      <c r="F8" s="34">
        <f t="shared" si="1"/>
        <v>0.20735701688082642</v>
      </c>
    </row>
    <row r="9" spans="1:54" s="107" customFormat="1">
      <c r="A9" s="31" t="s">
        <v>22</v>
      </c>
      <c r="B9" s="29" t="s">
        <v>177</v>
      </c>
      <c r="C9" s="32">
        <v>2520</v>
      </c>
      <c r="D9" s="33">
        <v>1664</v>
      </c>
      <c r="E9" s="33">
        <f t="shared" si="0"/>
        <v>856</v>
      </c>
      <c r="F9" s="34">
        <f t="shared" si="1"/>
        <v>0.3396825396825397</v>
      </c>
    </row>
    <row r="10" spans="1:54" s="107" customFormat="1">
      <c r="A10" s="31" t="s">
        <v>50</v>
      </c>
      <c r="B10" s="29" t="s">
        <v>57</v>
      </c>
      <c r="C10" s="32">
        <v>8701</v>
      </c>
      <c r="D10" s="33">
        <v>6751</v>
      </c>
      <c r="E10" s="33">
        <f t="shared" si="0"/>
        <v>1950</v>
      </c>
      <c r="F10" s="34">
        <f t="shared" si="1"/>
        <v>0.22411217101482589</v>
      </c>
    </row>
    <row r="11" spans="1:54" s="107" customFormat="1">
      <c r="A11" s="31" t="s">
        <v>51</v>
      </c>
      <c r="B11" s="33" t="s">
        <v>175</v>
      </c>
      <c r="C11" s="32">
        <v>80451</v>
      </c>
      <c r="D11" s="33">
        <v>60137</v>
      </c>
      <c r="E11" s="33">
        <f t="shared" si="0"/>
        <v>20314</v>
      </c>
      <c r="F11" s="34">
        <f t="shared" si="1"/>
        <v>0.25250152266597059</v>
      </c>
    </row>
    <row r="12" spans="1:54" s="107" customFormat="1">
      <c r="A12" s="31" t="s">
        <v>52</v>
      </c>
      <c r="B12" s="33" t="s">
        <v>175</v>
      </c>
      <c r="C12" s="32">
        <v>4956</v>
      </c>
      <c r="D12" s="33">
        <v>3255</v>
      </c>
      <c r="E12" s="33">
        <f t="shared" si="0"/>
        <v>1701</v>
      </c>
      <c r="F12" s="34">
        <f t="shared" si="1"/>
        <v>0.34322033898305082</v>
      </c>
    </row>
    <row r="13" spans="1:54" s="107" customFormat="1">
      <c r="A13" s="183" t="s">
        <v>53</v>
      </c>
      <c r="B13" s="184" t="s">
        <v>227</v>
      </c>
      <c r="C13" s="190" t="s">
        <v>228</v>
      </c>
      <c r="D13" s="191"/>
      <c r="E13" s="191"/>
      <c r="F13" s="192"/>
    </row>
    <row r="14" spans="1:54" s="107" customFormat="1" ht="15.75" thickBot="1">
      <c r="A14" s="47" t="s">
        <v>54</v>
      </c>
      <c r="B14" s="37" t="s">
        <v>58</v>
      </c>
      <c r="C14" s="36">
        <v>7716</v>
      </c>
      <c r="D14" s="37">
        <v>5445</v>
      </c>
      <c r="E14" s="37">
        <f t="shared" si="0"/>
        <v>2271</v>
      </c>
      <c r="F14" s="38">
        <f t="shared" si="1"/>
        <v>0.29432348367029548</v>
      </c>
      <c r="G14" s="107" t="s">
        <v>197</v>
      </c>
    </row>
    <row r="15" spans="1:54" s="107" customFormat="1" ht="15.75" thickBot="1">
      <c r="A15" s="49" t="s">
        <v>46</v>
      </c>
      <c r="B15" s="48"/>
      <c r="C15" s="41">
        <f>SUM(C5:C14)</f>
        <v>427994</v>
      </c>
      <c r="D15" s="41">
        <f>SUM(D5:D14)</f>
        <v>336300</v>
      </c>
      <c r="E15" s="41">
        <f>SUM(E5:E14)</f>
        <v>91694</v>
      </c>
      <c r="F15" s="95">
        <f>E15/C15</f>
        <v>0.21424132114001598</v>
      </c>
    </row>
    <row r="16" spans="1:54" s="107" customFormat="1"/>
    <row r="17" spans="1:91" s="104" customFormat="1" ht="15.75" thickBot="1">
      <c r="A17" s="104" t="s">
        <v>21</v>
      </c>
      <c r="C17" s="104">
        <v>2018</v>
      </c>
    </row>
    <row r="18" spans="1:91" s="104" customFormat="1" ht="15.75" thickBot="1">
      <c r="A18" s="42" t="s">
        <v>31</v>
      </c>
      <c r="B18" s="44" t="s">
        <v>55</v>
      </c>
      <c r="C18" s="43" t="s">
        <v>32</v>
      </c>
      <c r="D18" s="44" t="s">
        <v>33</v>
      </c>
      <c r="E18" s="44" t="s">
        <v>34</v>
      </c>
      <c r="F18" s="45" t="s">
        <v>35</v>
      </c>
    </row>
    <row r="19" spans="1:91" s="104" customFormat="1">
      <c r="A19" s="27" t="s">
        <v>47</v>
      </c>
      <c r="B19" s="29" t="s">
        <v>175</v>
      </c>
      <c r="C19" s="28">
        <v>78965</v>
      </c>
      <c r="D19" s="29">
        <v>61496</v>
      </c>
      <c r="E19" s="29">
        <f>C19-D19</f>
        <v>17469</v>
      </c>
      <c r="F19" s="30">
        <f>E19/C19</f>
        <v>0.2212245931741911</v>
      </c>
    </row>
    <row r="20" spans="1:91" s="104" customFormat="1">
      <c r="A20" s="31" t="s">
        <v>48</v>
      </c>
      <c r="B20" s="29" t="s">
        <v>178</v>
      </c>
      <c r="C20" s="32">
        <v>22646</v>
      </c>
      <c r="D20" s="33">
        <v>17662</v>
      </c>
      <c r="E20" s="33">
        <f t="shared" ref="E20:E28" si="2">C20-D20</f>
        <v>4984</v>
      </c>
      <c r="F20" s="34">
        <f t="shared" ref="F20:F28" si="3">E20/C20</f>
        <v>0.22008301686832113</v>
      </c>
    </row>
    <row r="21" spans="1:91" s="104" customFormat="1">
      <c r="A21" s="31" t="s">
        <v>21</v>
      </c>
      <c r="B21" s="29" t="s">
        <v>57</v>
      </c>
      <c r="C21" s="32">
        <v>204270</v>
      </c>
      <c r="D21" s="33">
        <v>167646</v>
      </c>
      <c r="E21" s="33">
        <f t="shared" si="2"/>
        <v>36624</v>
      </c>
      <c r="F21" s="34">
        <f t="shared" si="3"/>
        <v>0.17929211337935086</v>
      </c>
    </row>
    <row r="22" spans="1:91" s="104" customFormat="1">
      <c r="A22" s="31" t="s">
        <v>49</v>
      </c>
      <c r="B22" s="29" t="s">
        <v>177</v>
      </c>
      <c r="C22" s="32">
        <v>15876</v>
      </c>
      <c r="D22" s="33">
        <v>12584</v>
      </c>
      <c r="E22" s="33">
        <f t="shared" si="2"/>
        <v>3292</v>
      </c>
      <c r="F22" s="34">
        <f t="shared" si="3"/>
        <v>0.20735701688082642</v>
      </c>
    </row>
    <row r="23" spans="1:91" s="104" customFormat="1">
      <c r="A23" s="31" t="s">
        <v>22</v>
      </c>
      <c r="B23" s="29" t="s">
        <v>177</v>
      </c>
      <c r="C23" s="32">
        <v>2520</v>
      </c>
      <c r="D23" s="33">
        <v>1664</v>
      </c>
      <c r="E23" s="33">
        <f t="shared" si="2"/>
        <v>856</v>
      </c>
      <c r="F23" s="34">
        <f t="shared" si="3"/>
        <v>0.3396825396825397</v>
      </c>
    </row>
    <row r="24" spans="1:91" s="104" customFormat="1">
      <c r="A24" s="31" t="s">
        <v>50</v>
      </c>
      <c r="B24" s="29" t="s">
        <v>57</v>
      </c>
      <c r="C24" s="32">
        <v>8701</v>
      </c>
      <c r="D24" s="33">
        <v>6751</v>
      </c>
      <c r="E24" s="33">
        <f t="shared" si="2"/>
        <v>1950</v>
      </c>
      <c r="F24" s="34">
        <f t="shared" si="3"/>
        <v>0.22411217101482589</v>
      </c>
    </row>
    <row r="25" spans="1:91" s="4" customFormat="1">
      <c r="A25" s="31" t="s">
        <v>51</v>
      </c>
      <c r="B25" s="33" t="s">
        <v>175</v>
      </c>
      <c r="C25" s="32">
        <v>80451</v>
      </c>
      <c r="D25" s="33">
        <v>60137</v>
      </c>
      <c r="E25" s="33">
        <f t="shared" si="2"/>
        <v>20314</v>
      </c>
      <c r="F25" s="34">
        <f t="shared" si="3"/>
        <v>0.25250152266597059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</row>
    <row r="26" spans="1:91" s="104" customFormat="1">
      <c r="A26" s="31" t="s">
        <v>52</v>
      </c>
      <c r="B26" s="33" t="s">
        <v>175</v>
      </c>
      <c r="C26" s="32">
        <v>4956</v>
      </c>
      <c r="D26" s="33">
        <v>3255</v>
      </c>
      <c r="E26" s="33">
        <f t="shared" si="2"/>
        <v>1701</v>
      </c>
      <c r="F26" s="34">
        <f t="shared" si="3"/>
        <v>0.34322033898305082</v>
      </c>
    </row>
    <row r="27" spans="1:91" s="104" customFormat="1">
      <c r="A27" s="31" t="s">
        <v>53</v>
      </c>
      <c r="B27" s="33" t="s">
        <v>58</v>
      </c>
      <c r="C27" s="32">
        <v>2450</v>
      </c>
      <c r="D27" s="33">
        <v>1600</v>
      </c>
      <c r="E27" s="33">
        <f t="shared" si="2"/>
        <v>850</v>
      </c>
      <c r="F27" s="34">
        <f t="shared" si="3"/>
        <v>0.34693877551020408</v>
      </c>
    </row>
    <row r="28" spans="1:91" s="104" customFormat="1" ht="15.75" thickBot="1">
      <c r="A28" s="47" t="s">
        <v>54</v>
      </c>
      <c r="B28" s="37" t="s">
        <v>58</v>
      </c>
      <c r="C28" s="36">
        <v>7716</v>
      </c>
      <c r="D28" s="37">
        <v>5445</v>
      </c>
      <c r="E28" s="37">
        <f t="shared" si="2"/>
        <v>2271</v>
      </c>
      <c r="F28" s="38">
        <f t="shared" si="3"/>
        <v>0.29432348367029548</v>
      </c>
    </row>
    <row r="29" spans="1:91" s="104" customFormat="1" ht="15.75" thickBot="1">
      <c r="A29" s="49" t="s">
        <v>46</v>
      </c>
      <c r="B29" s="48"/>
      <c r="C29" s="41">
        <f>SUM(C19:C28)</f>
        <v>428551</v>
      </c>
      <c r="D29" s="41">
        <f>SUM(D19:D28)</f>
        <v>338240</v>
      </c>
      <c r="E29" s="41">
        <f>SUM(E19:E28)</f>
        <v>90311</v>
      </c>
      <c r="F29" s="97">
        <f>E29/C29</f>
        <v>0.21073571173559272</v>
      </c>
    </row>
    <row r="30" spans="1:91" s="104" customFormat="1"/>
    <row r="31" spans="1:91" ht="15.75" thickBot="1">
      <c r="A31" s="21" t="s">
        <v>21</v>
      </c>
      <c r="C31" s="21">
        <v>2016</v>
      </c>
    </row>
    <row r="32" spans="1:91" ht="15.75" thickBot="1">
      <c r="A32" s="42" t="s">
        <v>31</v>
      </c>
      <c r="B32" s="44" t="s">
        <v>55</v>
      </c>
      <c r="C32" s="43" t="s">
        <v>32</v>
      </c>
      <c r="D32" s="44" t="s">
        <v>33</v>
      </c>
      <c r="E32" s="44" t="s">
        <v>34</v>
      </c>
      <c r="F32" s="45" t="s">
        <v>35</v>
      </c>
    </row>
    <row r="33" spans="1:91">
      <c r="A33" s="27" t="s">
        <v>47</v>
      </c>
      <c r="B33" s="29" t="s">
        <v>56</v>
      </c>
      <c r="C33" s="28">
        <v>74996</v>
      </c>
      <c r="D33" s="29">
        <v>58722</v>
      </c>
      <c r="E33" s="29">
        <f>C33-D33</f>
        <v>16274</v>
      </c>
      <c r="F33" s="30">
        <f>E33/C33</f>
        <v>0.21699823990612832</v>
      </c>
    </row>
    <row r="34" spans="1:91">
      <c r="A34" s="31" t="s">
        <v>48</v>
      </c>
      <c r="B34" s="29" t="s">
        <v>56</v>
      </c>
      <c r="C34" s="32">
        <v>20958</v>
      </c>
      <c r="D34" s="33">
        <v>16050.999999999998</v>
      </c>
      <c r="E34" s="33">
        <f t="shared" ref="E34:E42" si="4">C34-D34</f>
        <v>4907.0000000000018</v>
      </c>
      <c r="F34" s="34">
        <f t="shared" ref="F34:F42" si="5">E34/C34</f>
        <v>0.23413493653974624</v>
      </c>
    </row>
    <row r="35" spans="1:91">
      <c r="A35" s="31" t="s">
        <v>21</v>
      </c>
      <c r="B35" s="29" t="s">
        <v>57</v>
      </c>
      <c r="C35" s="32">
        <v>204270</v>
      </c>
      <c r="D35" s="33">
        <v>167646</v>
      </c>
      <c r="E35" s="33">
        <f t="shared" si="4"/>
        <v>36624</v>
      </c>
      <c r="F35" s="34">
        <f t="shared" si="5"/>
        <v>0.17929211337935086</v>
      </c>
    </row>
    <row r="36" spans="1:91">
      <c r="A36" s="31" t="s">
        <v>49</v>
      </c>
      <c r="B36" s="33" t="s">
        <v>56</v>
      </c>
      <c r="C36" s="32">
        <v>15796</v>
      </c>
      <c r="D36" s="33">
        <v>12374</v>
      </c>
      <c r="E36" s="33">
        <f t="shared" si="4"/>
        <v>3422</v>
      </c>
      <c r="F36" s="34">
        <f t="shared" si="5"/>
        <v>0.2166371233223601</v>
      </c>
    </row>
    <row r="37" spans="1:91">
      <c r="A37" s="31" t="s">
        <v>22</v>
      </c>
      <c r="B37" s="33" t="s">
        <v>56</v>
      </c>
      <c r="C37" s="32">
        <v>2506</v>
      </c>
      <c r="D37" s="33">
        <v>1627</v>
      </c>
      <c r="E37" s="33">
        <f t="shared" si="4"/>
        <v>879</v>
      </c>
      <c r="F37" s="34">
        <f t="shared" si="5"/>
        <v>0.35075818036711892</v>
      </c>
    </row>
    <row r="38" spans="1:91">
      <c r="A38" s="31" t="s">
        <v>50</v>
      </c>
      <c r="B38" s="29" t="s">
        <v>57</v>
      </c>
      <c r="C38" s="32">
        <v>8701</v>
      </c>
      <c r="D38" s="33">
        <v>6751</v>
      </c>
      <c r="E38" s="33">
        <f t="shared" si="4"/>
        <v>1950</v>
      </c>
      <c r="F38" s="34">
        <f t="shared" si="5"/>
        <v>0.22411217101482589</v>
      </c>
    </row>
    <row r="39" spans="1:91" s="4" customFormat="1">
      <c r="A39" s="31" t="s">
        <v>51</v>
      </c>
      <c r="B39" s="33" t="s">
        <v>56</v>
      </c>
      <c r="C39" s="32">
        <v>76866</v>
      </c>
      <c r="D39" s="33">
        <v>56462</v>
      </c>
      <c r="E39" s="33">
        <f t="shared" si="4"/>
        <v>20404</v>
      </c>
      <c r="F39" s="34">
        <f t="shared" si="5"/>
        <v>0.26544896313064292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</row>
    <row r="40" spans="1:91">
      <c r="A40" s="31" t="s">
        <v>52</v>
      </c>
      <c r="B40" s="33" t="s">
        <v>56</v>
      </c>
      <c r="C40" s="32">
        <v>4714</v>
      </c>
      <c r="D40" s="33">
        <v>3252</v>
      </c>
      <c r="E40" s="33">
        <f t="shared" si="4"/>
        <v>1462</v>
      </c>
      <c r="F40" s="34">
        <f t="shared" si="5"/>
        <v>0.31014000848536277</v>
      </c>
    </row>
    <row r="41" spans="1:91">
      <c r="A41" s="31" t="s">
        <v>53</v>
      </c>
      <c r="B41" s="33" t="s">
        <v>58</v>
      </c>
      <c r="C41" s="32">
        <v>2450</v>
      </c>
      <c r="D41" s="33">
        <v>1600</v>
      </c>
      <c r="E41" s="33">
        <f t="shared" si="4"/>
        <v>850</v>
      </c>
      <c r="F41" s="34">
        <f t="shared" si="5"/>
        <v>0.34693877551020408</v>
      </c>
    </row>
    <row r="42" spans="1:91" ht="15.75" thickBot="1">
      <c r="A42" s="47" t="s">
        <v>54</v>
      </c>
      <c r="B42" s="37" t="s">
        <v>58</v>
      </c>
      <c r="C42" s="36">
        <v>7716</v>
      </c>
      <c r="D42" s="37">
        <v>5445</v>
      </c>
      <c r="E42" s="37">
        <f t="shared" si="4"/>
        <v>2271</v>
      </c>
      <c r="F42" s="38">
        <f t="shared" si="5"/>
        <v>0.29432348367029548</v>
      </c>
    </row>
    <row r="43" spans="1:91" ht="15.75" thickBot="1">
      <c r="A43" s="49" t="s">
        <v>46</v>
      </c>
      <c r="B43" s="48"/>
      <c r="C43" s="41">
        <f>SUM(C33:C42)</f>
        <v>418973</v>
      </c>
      <c r="D43" s="41">
        <f>SUM(D33:D42)</f>
        <v>329930</v>
      </c>
      <c r="E43" s="41">
        <f>SUM(E33:E42)</f>
        <v>89043</v>
      </c>
      <c r="F43" s="97">
        <f>E43/C43</f>
        <v>0.21252682153742605</v>
      </c>
    </row>
    <row r="44" spans="1:91">
      <c r="B44"/>
      <c r="C44"/>
      <c r="D44"/>
    </row>
    <row r="45" spans="1:91">
      <c r="B45"/>
      <c r="C45"/>
      <c r="D45"/>
    </row>
    <row r="46" spans="1:91" ht="15.75" thickBot="1">
      <c r="A46" s="21" t="s">
        <v>21</v>
      </c>
      <c r="B46" s="21">
        <v>2010</v>
      </c>
    </row>
    <row r="47" spans="1:91" ht="15.75" thickBot="1">
      <c r="A47" s="42" t="s">
        <v>31</v>
      </c>
      <c r="B47" s="43" t="s">
        <v>32</v>
      </c>
      <c r="C47" s="44" t="s">
        <v>33</v>
      </c>
      <c r="D47" s="44" t="s">
        <v>34</v>
      </c>
      <c r="E47" s="45" t="s">
        <v>35</v>
      </c>
    </row>
    <row r="48" spans="1:91">
      <c r="A48" s="27" t="s">
        <v>47</v>
      </c>
      <c r="B48">
        <v>86394</v>
      </c>
      <c r="C48">
        <v>66653</v>
      </c>
      <c r="D48">
        <f>B48-C48</f>
        <v>19741</v>
      </c>
      <c r="E48" s="30">
        <f>D48/B48</f>
        <v>0.22849966432854132</v>
      </c>
    </row>
    <row r="49" spans="1:5">
      <c r="A49" s="31" t="s">
        <v>48</v>
      </c>
      <c r="B49" s="32">
        <v>20900</v>
      </c>
      <c r="C49" s="33">
        <v>17116</v>
      </c>
      <c r="D49" s="33">
        <f t="shared" ref="D49:D57" si="6">B49-C49</f>
        <v>3784</v>
      </c>
      <c r="E49" s="34">
        <f t="shared" ref="E49:E57" si="7">D49/B49</f>
        <v>0.18105263157894738</v>
      </c>
    </row>
    <row r="50" spans="1:5">
      <c r="A50" s="31" t="s">
        <v>21</v>
      </c>
      <c r="B50" s="32">
        <v>227000</v>
      </c>
      <c r="C50" s="33">
        <v>182000</v>
      </c>
      <c r="D50" s="33">
        <f t="shared" si="6"/>
        <v>45000</v>
      </c>
      <c r="E50" s="34">
        <f t="shared" si="7"/>
        <v>0.19823788546255505</v>
      </c>
    </row>
    <row r="51" spans="1:5">
      <c r="A51" s="31" t="s">
        <v>49</v>
      </c>
      <c r="B51" s="32">
        <v>17643</v>
      </c>
      <c r="C51" s="33">
        <v>14694</v>
      </c>
      <c r="D51" s="33">
        <f t="shared" si="6"/>
        <v>2949</v>
      </c>
      <c r="E51" s="34">
        <f t="shared" si="7"/>
        <v>0.16714844414215269</v>
      </c>
    </row>
    <row r="52" spans="1:5">
      <c r="A52" s="31" t="s">
        <v>22</v>
      </c>
      <c r="B52" s="32">
        <v>2906</v>
      </c>
      <c r="C52" s="33">
        <v>1931</v>
      </c>
      <c r="D52" s="33">
        <f t="shared" si="6"/>
        <v>975</v>
      </c>
      <c r="E52" s="34">
        <f t="shared" si="7"/>
        <v>0.3355127322780454</v>
      </c>
    </row>
    <row r="53" spans="1:5">
      <c r="A53" s="31" t="s">
        <v>50</v>
      </c>
      <c r="B53" s="32">
        <v>10000</v>
      </c>
      <c r="C53" s="33">
        <v>8000</v>
      </c>
      <c r="D53" s="33">
        <f t="shared" si="6"/>
        <v>2000</v>
      </c>
      <c r="E53" s="34">
        <f t="shared" si="7"/>
        <v>0.2</v>
      </c>
    </row>
    <row r="54" spans="1:5">
      <c r="A54" s="31" t="s">
        <v>51</v>
      </c>
      <c r="B54" s="32">
        <v>88212</v>
      </c>
      <c r="C54" s="33">
        <v>64581</v>
      </c>
      <c r="D54" s="33">
        <f t="shared" si="6"/>
        <v>23631</v>
      </c>
      <c r="E54" s="34">
        <f t="shared" si="7"/>
        <v>0.26788872262277241</v>
      </c>
    </row>
    <row r="55" spans="1:5">
      <c r="A55" s="31" t="s">
        <v>52</v>
      </c>
      <c r="B55" s="32">
        <v>5200</v>
      </c>
      <c r="C55" s="33">
        <v>3600</v>
      </c>
      <c r="D55" s="33">
        <f t="shared" si="6"/>
        <v>1600</v>
      </c>
      <c r="E55" s="34">
        <f t="shared" si="7"/>
        <v>0.30769230769230771</v>
      </c>
    </row>
    <row r="56" spans="1:5">
      <c r="A56" s="31" t="s">
        <v>53</v>
      </c>
      <c r="B56" s="32">
        <v>2450</v>
      </c>
      <c r="C56" s="33">
        <v>1600</v>
      </c>
      <c r="D56" s="33">
        <f t="shared" si="6"/>
        <v>850</v>
      </c>
      <c r="E56" s="34">
        <f t="shared" si="7"/>
        <v>0.34693877551020408</v>
      </c>
    </row>
    <row r="57" spans="1:5" ht="15.75" thickBot="1">
      <c r="A57" s="31" t="s">
        <v>54</v>
      </c>
      <c r="B57" s="32">
        <v>7716</v>
      </c>
      <c r="C57" s="33">
        <v>5445</v>
      </c>
      <c r="D57" s="33">
        <f t="shared" si="6"/>
        <v>2271</v>
      </c>
      <c r="E57" s="34">
        <f t="shared" si="7"/>
        <v>0.29432348367029548</v>
      </c>
    </row>
    <row r="58" spans="1:5" ht="15.75" thickBot="1">
      <c r="A58" s="39" t="s">
        <v>46</v>
      </c>
      <c r="B58" s="40">
        <f>SUM(B48:B57)</f>
        <v>468421</v>
      </c>
      <c r="C58" s="41">
        <f>SUM(C48:C57)</f>
        <v>365620</v>
      </c>
      <c r="D58" s="41">
        <f>SUM(D48:D57)</f>
        <v>102801</v>
      </c>
      <c r="E58" s="97">
        <f>D58/B58</f>
        <v>0.2194628336475094</v>
      </c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90" spans="2:4" s="4" customFormat="1"/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</sheetData>
  <mergeCells count="1">
    <mergeCell ref="C13:F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71F1-76BB-4EA1-A79F-70C66C386BDA}">
  <dimension ref="A1:BB82"/>
  <sheetViews>
    <sheetView zoomScaleNormal="100" workbookViewId="0">
      <selection activeCell="F17" sqref="F17"/>
    </sheetView>
  </sheetViews>
  <sheetFormatPr defaultColWidth="9.140625" defaultRowHeight="15"/>
  <cols>
    <col min="1" max="1" width="17.28515625" style="21" bestFit="1" customWidth="1"/>
    <col min="2" max="2" width="19.140625" style="2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6" customFormat="1" ht="15.75" thickBot="1">
      <c r="A3" s="106" t="s">
        <v>30</v>
      </c>
      <c r="B3" s="106">
        <v>2020</v>
      </c>
    </row>
    <row r="4" spans="1:54" s="106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6" customFormat="1">
      <c r="A5" s="27" t="s">
        <v>68</v>
      </c>
      <c r="B5" s="107" t="s">
        <v>56</v>
      </c>
      <c r="C5" s="29">
        <v>12795</v>
      </c>
      <c r="D5" s="29">
        <v>9722</v>
      </c>
      <c r="E5" s="29">
        <f t="shared" ref="E5:E17" si="0">C5-D5</f>
        <v>3073</v>
      </c>
      <c r="F5" s="51">
        <f t="shared" ref="F5:F17" si="1">E5/C5</f>
        <v>0.24017194216490817</v>
      </c>
    </row>
    <row r="6" spans="1:54" s="106" customFormat="1">
      <c r="A6" s="31" t="s">
        <v>63</v>
      </c>
      <c r="B6" s="32" t="s">
        <v>56</v>
      </c>
      <c r="C6" s="33">
        <v>68502</v>
      </c>
      <c r="D6" s="33">
        <v>51779</v>
      </c>
      <c r="E6" s="33">
        <f t="shared" si="0"/>
        <v>16723</v>
      </c>
      <c r="F6" s="34">
        <f t="shared" si="1"/>
        <v>0.24412425914571836</v>
      </c>
    </row>
    <row r="7" spans="1:54" s="106" customFormat="1">
      <c r="A7" s="31" t="s">
        <v>30</v>
      </c>
      <c r="B7" s="32" t="s">
        <v>175</v>
      </c>
      <c r="C7" s="33">
        <v>309357</v>
      </c>
      <c r="D7" s="33">
        <v>261508</v>
      </c>
      <c r="E7" s="33">
        <f t="shared" si="0"/>
        <v>47849</v>
      </c>
      <c r="F7" s="34">
        <f t="shared" si="1"/>
        <v>0.15467243346683604</v>
      </c>
    </row>
    <row r="8" spans="1:54" s="106" customFormat="1">
      <c r="A8" s="31" t="s">
        <v>71</v>
      </c>
      <c r="B8" s="3" t="s">
        <v>58</v>
      </c>
      <c r="C8" s="33">
        <v>4060</v>
      </c>
      <c r="D8" s="33">
        <v>2704</v>
      </c>
      <c r="E8" s="33">
        <f t="shared" si="0"/>
        <v>1356</v>
      </c>
      <c r="F8" s="34">
        <f t="shared" si="1"/>
        <v>0.33399014778325126</v>
      </c>
    </row>
    <row r="9" spans="1:54" s="106" customFormat="1">
      <c r="A9" s="31" t="s">
        <v>67</v>
      </c>
      <c r="B9" s="32" t="s">
        <v>175</v>
      </c>
      <c r="C9" s="33">
        <v>32377</v>
      </c>
      <c r="D9" s="33">
        <v>25143</v>
      </c>
      <c r="E9" s="33">
        <f t="shared" si="0"/>
        <v>7234</v>
      </c>
      <c r="F9" s="34">
        <f t="shared" si="1"/>
        <v>0.22343021280538655</v>
      </c>
    </row>
    <row r="10" spans="1:54" s="106" customFormat="1">
      <c r="A10" s="31" t="s">
        <v>73</v>
      </c>
      <c r="B10" s="3" t="s">
        <v>58</v>
      </c>
      <c r="C10" s="33">
        <v>7773</v>
      </c>
      <c r="D10" s="33">
        <v>4840</v>
      </c>
      <c r="E10" s="33">
        <f t="shared" si="0"/>
        <v>2933</v>
      </c>
      <c r="F10" s="34">
        <f t="shared" si="1"/>
        <v>0.37733178952785285</v>
      </c>
    </row>
    <row r="11" spans="1:54" s="106" customFormat="1">
      <c r="A11" s="31" t="s">
        <v>69</v>
      </c>
      <c r="B11" s="32" t="s">
        <v>175</v>
      </c>
      <c r="C11" s="33">
        <v>12225</v>
      </c>
      <c r="D11" s="33">
        <v>6254</v>
      </c>
      <c r="E11" s="33">
        <f t="shared" si="0"/>
        <v>5971</v>
      </c>
      <c r="F11" s="34">
        <f t="shared" si="1"/>
        <v>0.48842535787321062</v>
      </c>
    </row>
    <row r="12" spans="1:54" s="106" customFormat="1">
      <c r="A12" s="31" t="s">
        <v>72</v>
      </c>
      <c r="B12" s="3" t="s">
        <v>58</v>
      </c>
      <c r="C12" s="33">
        <v>2540</v>
      </c>
      <c r="D12" s="33">
        <v>1601</v>
      </c>
      <c r="E12" s="33">
        <f t="shared" si="0"/>
        <v>939</v>
      </c>
      <c r="F12" s="34">
        <f t="shared" si="1"/>
        <v>0.36968503937007874</v>
      </c>
    </row>
    <row r="13" spans="1:54" s="106" customFormat="1">
      <c r="A13" s="31" t="s">
        <v>64</v>
      </c>
      <c r="B13" s="32" t="s">
        <v>177</v>
      </c>
      <c r="C13" s="33">
        <v>29878</v>
      </c>
      <c r="D13" s="33">
        <v>22879</v>
      </c>
      <c r="E13" s="33">
        <f t="shared" si="0"/>
        <v>6999</v>
      </c>
      <c r="F13" s="34">
        <f t="shared" si="1"/>
        <v>0.23425262735122832</v>
      </c>
    </row>
    <row r="14" spans="1:54" s="106" customFormat="1">
      <c r="A14" s="31" t="s">
        <v>70</v>
      </c>
      <c r="B14" s="32" t="s">
        <v>177</v>
      </c>
      <c r="C14" s="33">
        <v>7252</v>
      </c>
      <c r="D14" s="33">
        <v>4738</v>
      </c>
      <c r="E14" s="33">
        <f t="shared" si="0"/>
        <v>2514</v>
      </c>
      <c r="F14" s="34">
        <f t="shared" si="1"/>
        <v>0.34666298952013236</v>
      </c>
    </row>
    <row r="15" spans="1:54" s="106" customFormat="1">
      <c r="A15" s="31" t="s">
        <v>66</v>
      </c>
      <c r="B15" s="32" t="s">
        <v>175</v>
      </c>
      <c r="C15" s="33">
        <v>20360</v>
      </c>
      <c r="D15" s="33">
        <v>15684</v>
      </c>
      <c r="E15" s="33">
        <f t="shared" si="0"/>
        <v>4676</v>
      </c>
      <c r="F15" s="34">
        <f t="shared" si="1"/>
        <v>0.22966601178781926</v>
      </c>
    </row>
    <row r="16" spans="1:54" s="106" customFormat="1" ht="16.5" customHeight="1" thickBot="1">
      <c r="A16" s="35" t="s">
        <v>65</v>
      </c>
      <c r="B16" s="57" t="s">
        <v>186</v>
      </c>
      <c r="C16" s="55">
        <v>30153</v>
      </c>
      <c r="D16" s="55">
        <v>22500</v>
      </c>
      <c r="E16" s="55">
        <f t="shared" si="0"/>
        <v>7653</v>
      </c>
      <c r="F16" s="56">
        <f t="shared" si="1"/>
        <v>0.25380559148343451</v>
      </c>
    </row>
    <row r="17" spans="1:6" s="106" customFormat="1" ht="15.75" thickBot="1">
      <c r="A17" s="39" t="s">
        <v>46</v>
      </c>
      <c r="B17" s="52"/>
      <c r="C17" s="53">
        <f>SUM(C5:C16)</f>
        <v>537272</v>
      </c>
      <c r="D17" s="53">
        <f t="shared" ref="D17" si="2">SUM(D5:D16)</f>
        <v>429352</v>
      </c>
      <c r="E17" s="53">
        <f t="shared" si="0"/>
        <v>107920</v>
      </c>
      <c r="F17" s="96">
        <f t="shared" si="1"/>
        <v>0.20086660015783439</v>
      </c>
    </row>
    <row r="18" spans="1:6" s="106" customFormat="1"/>
    <row r="19" spans="1:6" ht="15.75" thickBot="1">
      <c r="A19" s="21" t="s">
        <v>30</v>
      </c>
      <c r="B19" s="21">
        <v>2016</v>
      </c>
    </row>
    <row r="20" spans="1:6" ht="15.75" thickBot="1">
      <c r="A20" s="23" t="s">
        <v>31</v>
      </c>
      <c r="B20" s="24" t="s">
        <v>55</v>
      </c>
      <c r="C20" s="25" t="s">
        <v>32</v>
      </c>
      <c r="D20" s="25" t="s">
        <v>33</v>
      </c>
      <c r="E20" s="26" t="s">
        <v>34</v>
      </c>
      <c r="F20" s="26" t="s">
        <v>35</v>
      </c>
    </row>
    <row r="21" spans="1:6">
      <c r="A21" s="27" t="s">
        <v>68</v>
      </c>
      <c r="B21" s="21" t="s">
        <v>56</v>
      </c>
      <c r="C21" s="29">
        <v>12795</v>
      </c>
      <c r="D21" s="29">
        <v>9722</v>
      </c>
      <c r="E21" s="29">
        <f t="shared" ref="E21:E33" si="3">C21-D21</f>
        <v>3073</v>
      </c>
      <c r="F21" s="51">
        <f t="shared" ref="F21:F33" si="4">E21/C21</f>
        <v>0.24017194216490817</v>
      </c>
    </row>
    <row r="22" spans="1:6">
      <c r="A22" s="31" t="s">
        <v>63</v>
      </c>
      <c r="B22" s="32" t="s">
        <v>56</v>
      </c>
      <c r="C22" s="33">
        <v>68502</v>
      </c>
      <c r="D22" s="33">
        <v>51779</v>
      </c>
      <c r="E22" s="33">
        <f t="shared" si="3"/>
        <v>16723</v>
      </c>
      <c r="F22" s="34">
        <f t="shared" si="4"/>
        <v>0.24412425914571836</v>
      </c>
    </row>
    <row r="23" spans="1:6">
      <c r="A23" s="31" t="s">
        <v>30</v>
      </c>
      <c r="B23" s="32" t="s">
        <v>56</v>
      </c>
      <c r="C23" s="33">
        <v>296944</v>
      </c>
      <c r="D23" s="33">
        <v>249470</v>
      </c>
      <c r="E23" s="33">
        <f t="shared" si="3"/>
        <v>47474</v>
      </c>
      <c r="F23" s="34">
        <f t="shared" si="4"/>
        <v>0.15987526267579072</v>
      </c>
    </row>
    <row r="24" spans="1:6">
      <c r="A24" s="31" t="s">
        <v>71</v>
      </c>
      <c r="B24" s="21" t="s">
        <v>58</v>
      </c>
      <c r="C24" s="33">
        <v>4060</v>
      </c>
      <c r="D24" s="33">
        <v>2704</v>
      </c>
      <c r="E24" s="33">
        <f t="shared" si="3"/>
        <v>1356</v>
      </c>
      <c r="F24" s="34">
        <f t="shared" si="4"/>
        <v>0.33399014778325126</v>
      </c>
    </row>
    <row r="25" spans="1:6">
      <c r="A25" s="31" t="s">
        <v>67</v>
      </c>
      <c r="B25" s="32" t="s">
        <v>56</v>
      </c>
      <c r="C25" s="33">
        <v>30351</v>
      </c>
      <c r="D25" s="33">
        <v>19121.7</v>
      </c>
      <c r="E25" s="33">
        <f t="shared" si="3"/>
        <v>11229.3</v>
      </c>
      <c r="F25" s="34">
        <f t="shared" si="4"/>
        <v>0.3699812197291687</v>
      </c>
    </row>
    <row r="26" spans="1:6">
      <c r="A26" s="31" t="s">
        <v>73</v>
      </c>
      <c r="B26" s="21" t="s">
        <v>58</v>
      </c>
      <c r="C26" s="33">
        <v>7773</v>
      </c>
      <c r="D26" s="33">
        <v>4840</v>
      </c>
      <c r="E26" s="33">
        <f t="shared" si="3"/>
        <v>2933</v>
      </c>
      <c r="F26" s="34">
        <f t="shared" si="4"/>
        <v>0.37733178952785285</v>
      </c>
    </row>
    <row r="27" spans="1:6">
      <c r="A27" s="31" t="s">
        <v>69</v>
      </c>
      <c r="B27" s="32" t="s">
        <v>56</v>
      </c>
      <c r="C27" s="33">
        <v>11868</v>
      </c>
      <c r="D27" s="33">
        <v>5859</v>
      </c>
      <c r="E27" s="33">
        <f t="shared" si="3"/>
        <v>6009</v>
      </c>
      <c r="F27" s="34">
        <f t="shared" si="4"/>
        <v>0.50631951466127401</v>
      </c>
    </row>
    <row r="28" spans="1:6">
      <c r="A28" s="31" t="s">
        <v>72</v>
      </c>
      <c r="B28" s="21" t="s">
        <v>58</v>
      </c>
      <c r="C28" s="33">
        <v>2540</v>
      </c>
      <c r="D28" s="33">
        <v>1601</v>
      </c>
      <c r="E28" s="33">
        <f t="shared" si="3"/>
        <v>939</v>
      </c>
      <c r="F28" s="34">
        <f t="shared" si="4"/>
        <v>0.36968503937007874</v>
      </c>
    </row>
    <row r="29" spans="1:6">
      <c r="A29" s="31" t="s">
        <v>64</v>
      </c>
      <c r="B29" s="32" t="s">
        <v>56</v>
      </c>
      <c r="C29" s="33">
        <v>29750</v>
      </c>
      <c r="D29" s="33">
        <v>21823</v>
      </c>
      <c r="E29" s="33">
        <f t="shared" si="3"/>
        <v>7927</v>
      </c>
      <c r="F29" s="34">
        <f t="shared" si="4"/>
        <v>0.26645378151260501</v>
      </c>
    </row>
    <row r="30" spans="1:6">
      <c r="A30" s="31" t="s">
        <v>70</v>
      </c>
      <c r="B30" s="32" t="s">
        <v>56</v>
      </c>
      <c r="C30" s="33">
        <v>6917</v>
      </c>
      <c r="D30" s="33">
        <v>4575</v>
      </c>
      <c r="E30" s="33">
        <f t="shared" si="3"/>
        <v>2342</v>
      </c>
      <c r="F30" s="34">
        <f t="shared" si="4"/>
        <v>0.3385860922365187</v>
      </c>
    </row>
    <row r="31" spans="1:6">
      <c r="A31" s="31" t="s">
        <v>66</v>
      </c>
      <c r="B31" s="32" t="s">
        <v>56</v>
      </c>
      <c r="C31" s="33">
        <v>18733.900000000001</v>
      </c>
      <c r="D31" s="33">
        <v>14653.1</v>
      </c>
      <c r="E31" s="33">
        <f t="shared" si="3"/>
        <v>4080.8000000000011</v>
      </c>
      <c r="F31" s="34">
        <f t="shared" si="4"/>
        <v>0.2178297097774623</v>
      </c>
    </row>
    <row r="32" spans="1:6" ht="16.5" customHeight="1" thickBot="1">
      <c r="A32" s="35" t="s">
        <v>65</v>
      </c>
      <c r="B32" s="57" t="s">
        <v>58</v>
      </c>
      <c r="C32" s="55">
        <v>32066</v>
      </c>
      <c r="D32" s="55">
        <v>24745</v>
      </c>
      <c r="E32" s="55">
        <f t="shared" si="3"/>
        <v>7321</v>
      </c>
      <c r="F32" s="56">
        <f t="shared" si="4"/>
        <v>0.22831035988274184</v>
      </c>
    </row>
    <row r="33" spans="1:6" ht="15.75" thickBot="1">
      <c r="A33" s="39" t="s">
        <v>46</v>
      </c>
      <c r="B33" s="52"/>
      <c r="C33" s="53">
        <f>SUM(C21:C32)</f>
        <v>522299.9</v>
      </c>
      <c r="D33" s="53">
        <f t="shared" ref="D33" si="5">SUM(D21:D32)</f>
        <v>410892.79999999999</v>
      </c>
      <c r="E33" s="53">
        <f t="shared" si="3"/>
        <v>111407.10000000003</v>
      </c>
      <c r="F33" s="100">
        <f t="shared" si="4"/>
        <v>0.21330101728910925</v>
      </c>
    </row>
    <row r="36" spans="1:6" ht="15.75" thickBot="1">
      <c r="A36" s="21" t="s">
        <v>30</v>
      </c>
      <c r="B36" s="21">
        <v>2014</v>
      </c>
      <c r="C36" s="21" t="s">
        <v>160</v>
      </c>
    </row>
    <row r="37" spans="1:6" ht="15.75" thickBot="1">
      <c r="A37" s="23" t="s">
        <v>31</v>
      </c>
      <c r="B37" s="24" t="s">
        <v>32</v>
      </c>
      <c r="C37" s="25" t="s">
        <v>33</v>
      </c>
      <c r="D37" s="25" t="s">
        <v>34</v>
      </c>
      <c r="E37" s="26" t="s">
        <v>35</v>
      </c>
    </row>
    <row r="38" spans="1:6">
      <c r="A38" s="27" t="s">
        <v>30</v>
      </c>
      <c r="B38" s="28">
        <v>283200</v>
      </c>
      <c r="C38" s="29">
        <v>226560</v>
      </c>
      <c r="D38" s="29">
        <f>B38-C38</f>
        <v>56640</v>
      </c>
      <c r="E38" s="51">
        <f>D38/B38</f>
        <v>0.2</v>
      </c>
    </row>
    <row r="39" spans="1:6">
      <c r="A39" s="31" t="s">
        <v>63</v>
      </c>
      <c r="B39" s="32">
        <v>71000</v>
      </c>
      <c r="C39" s="33">
        <v>55000</v>
      </c>
      <c r="D39" s="29">
        <f t="shared" ref="D39:D49" si="6">B39-C39</f>
        <v>16000</v>
      </c>
      <c r="E39" s="34">
        <f t="shared" ref="E39:E49" si="7">D39/B39</f>
        <v>0.22535211267605634</v>
      </c>
    </row>
    <row r="40" spans="1:6">
      <c r="A40" s="31" t="s">
        <v>64</v>
      </c>
      <c r="B40" s="32">
        <v>33600</v>
      </c>
      <c r="C40" s="33">
        <v>28000</v>
      </c>
      <c r="D40" s="29">
        <f t="shared" si="6"/>
        <v>5600</v>
      </c>
      <c r="E40" s="34">
        <f t="shared" si="7"/>
        <v>0.16666666666666666</v>
      </c>
    </row>
    <row r="41" spans="1:6">
      <c r="A41" s="31" t="s">
        <v>65</v>
      </c>
      <c r="B41" s="32">
        <v>32066</v>
      </c>
      <c r="C41" s="33">
        <v>24745</v>
      </c>
      <c r="D41" s="29">
        <f t="shared" si="6"/>
        <v>7321</v>
      </c>
      <c r="E41" s="34">
        <f t="shared" si="7"/>
        <v>0.22831035988274184</v>
      </c>
    </row>
    <row r="42" spans="1:6">
      <c r="A42" s="31" t="s">
        <v>66</v>
      </c>
      <c r="B42" s="32">
        <v>20025</v>
      </c>
      <c r="C42" s="33">
        <v>15263</v>
      </c>
      <c r="D42" s="29">
        <f t="shared" si="6"/>
        <v>4762</v>
      </c>
      <c r="E42" s="34">
        <f t="shared" si="7"/>
        <v>0.23780274656679151</v>
      </c>
    </row>
    <row r="43" spans="1:6">
      <c r="A43" s="31" t="s">
        <v>67</v>
      </c>
      <c r="B43" s="32">
        <v>25000</v>
      </c>
      <c r="C43" s="33">
        <v>18300</v>
      </c>
      <c r="D43" s="29">
        <f t="shared" si="6"/>
        <v>6700</v>
      </c>
      <c r="E43" s="34">
        <f t="shared" si="7"/>
        <v>0.26800000000000002</v>
      </c>
    </row>
    <row r="44" spans="1:6">
      <c r="A44" s="31" t="s">
        <v>68</v>
      </c>
      <c r="B44" s="32">
        <v>13500</v>
      </c>
      <c r="C44" s="33">
        <v>9500</v>
      </c>
      <c r="D44" s="29">
        <f t="shared" si="6"/>
        <v>4000</v>
      </c>
      <c r="E44" s="34">
        <f t="shared" si="7"/>
        <v>0.29629629629629628</v>
      </c>
    </row>
    <row r="45" spans="1:6">
      <c r="A45" s="31" t="s">
        <v>69</v>
      </c>
      <c r="B45" s="32">
        <v>13000</v>
      </c>
      <c r="C45" s="33">
        <v>7000</v>
      </c>
      <c r="D45" s="29">
        <f t="shared" si="6"/>
        <v>6000</v>
      </c>
      <c r="E45" s="34">
        <f t="shared" si="7"/>
        <v>0.46153846153846156</v>
      </c>
    </row>
    <row r="46" spans="1:6">
      <c r="A46" s="31" t="s">
        <v>70</v>
      </c>
      <c r="B46" s="32">
        <v>8300</v>
      </c>
      <c r="C46" s="33">
        <v>5000</v>
      </c>
      <c r="D46" s="29">
        <f t="shared" si="6"/>
        <v>3300</v>
      </c>
      <c r="E46" s="34">
        <f t="shared" si="7"/>
        <v>0.39759036144578314</v>
      </c>
    </row>
    <row r="47" spans="1:6">
      <c r="A47" s="31" t="s">
        <v>71</v>
      </c>
      <c r="B47" s="32">
        <v>4060</v>
      </c>
      <c r="C47" s="33">
        <v>2704</v>
      </c>
      <c r="D47" s="29">
        <f t="shared" si="6"/>
        <v>1356</v>
      </c>
      <c r="E47" s="34">
        <f t="shared" si="7"/>
        <v>0.33399014778325126</v>
      </c>
    </row>
    <row r="48" spans="1:6">
      <c r="A48" s="31" t="s">
        <v>72</v>
      </c>
      <c r="B48" s="32">
        <v>2540</v>
      </c>
      <c r="C48" s="33">
        <v>1601</v>
      </c>
      <c r="D48" s="29">
        <f t="shared" si="6"/>
        <v>939</v>
      </c>
      <c r="E48" s="34">
        <f t="shared" si="7"/>
        <v>0.36968503937007874</v>
      </c>
    </row>
    <row r="49" spans="1:6" ht="15.75" thickBot="1">
      <c r="A49" s="47" t="s">
        <v>73</v>
      </c>
      <c r="B49" s="36">
        <v>7773</v>
      </c>
      <c r="C49" s="37">
        <v>4840</v>
      </c>
      <c r="D49" s="94">
        <f t="shared" si="6"/>
        <v>2933</v>
      </c>
      <c r="E49" s="38">
        <f t="shared" si="7"/>
        <v>0.37733178952785285</v>
      </c>
    </row>
    <row r="50" spans="1:6" ht="15.75" thickBot="1">
      <c r="A50" s="49" t="s">
        <v>46</v>
      </c>
      <c r="B50" s="41">
        <f>SUM(B38:B49)</f>
        <v>514064</v>
      </c>
      <c r="C50" s="41">
        <f t="shared" ref="C50" si="8">SUM(C38:C49)</f>
        <v>398513</v>
      </c>
      <c r="D50" s="41">
        <f>B50-C50</f>
        <v>115551</v>
      </c>
      <c r="E50" s="97">
        <f>D50/B50</f>
        <v>0.22477940489900089</v>
      </c>
    </row>
    <row r="52" spans="1:6" ht="15.75" thickBot="1">
      <c r="A52" s="21" t="s">
        <v>30</v>
      </c>
      <c r="B52" s="21">
        <v>2010</v>
      </c>
      <c r="C52" s="21" t="s">
        <v>60</v>
      </c>
    </row>
    <row r="53" spans="1:6" ht="15.75" thickBot="1">
      <c r="A53" s="23" t="s">
        <v>31</v>
      </c>
      <c r="B53" s="24" t="s">
        <v>32</v>
      </c>
      <c r="C53" s="25" t="s">
        <v>33</v>
      </c>
      <c r="D53" s="25" t="s">
        <v>34</v>
      </c>
      <c r="E53" s="26" t="s">
        <v>35</v>
      </c>
      <c r="F53" s="26" t="s">
        <v>61</v>
      </c>
    </row>
    <row r="54" spans="1:6">
      <c r="A54" s="27" t="s">
        <v>30</v>
      </c>
      <c r="B54" s="28">
        <v>283200</v>
      </c>
      <c r="C54" s="29">
        <v>226560</v>
      </c>
      <c r="D54" s="29">
        <v>56640</v>
      </c>
      <c r="E54" s="30">
        <v>0.2</v>
      </c>
      <c r="F54" s="51" t="s">
        <v>62</v>
      </c>
    </row>
    <row r="55" spans="1:6">
      <c r="A55" s="31" t="s">
        <v>63</v>
      </c>
      <c r="B55" s="32">
        <v>71000</v>
      </c>
      <c r="C55" s="33">
        <v>55000</v>
      </c>
      <c r="D55" s="33">
        <v>21100</v>
      </c>
      <c r="E55" s="34">
        <v>0.29718309859154929</v>
      </c>
      <c r="F55" s="34">
        <v>0.28999999999999998</v>
      </c>
    </row>
    <row r="56" spans="1:6">
      <c r="A56" s="31" t="s">
        <v>64</v>
      </c>
      <c r="B56" s="32">
        <v>33600</v>
      </c>
      <c r="C56" s="33">
        <v>28000</v>
      </c>
      <c r="D56" s="33">
        <v>5600</v>
      </c>
      <c r="E56" s="34">
        <v>0.16666666666666666</v>
      </c>
      <c r="F56" s="34">
        <v>0.17</v>
      </c>
    </row>
    <row r="57" spans="1:6">
      <c r="A57" s="31" t="s">
        <v>65</v>
      </c>
      <c r="B57" s="32">
        <v>32066</v>
      </c>
      <c r="C57" s="33">
        <v>24745</v>
      </c>
      <c r="D57" s="33">
        <v>7321</v>
      </c>
      <c r="E57" s="34">
        <v>0.22831035988274184</v>
      </c>
      <c r="F57" s="34">
        <v>0.23</v>
      </c>
    </row>
    <row r="58" spans="1:6">
      <c r="A58" s="31" t="s">
        <v>66</v>
      </c>
      <c r="B58" s="32">
        <v>20025</v>
      </c>
      <c r="C58" s="33">
        <v>15263</v>
      </c>
      <c r="D58" s="33">
        <v>4762</v>
      </c>
      <c r="E58" s="34">
        <v>0.23780274656679151</v>
      </c>
      <c r="F58" s="34">
        <v>0.24</v>
      </c>
    </row>
    <row r="59" spans="1:6">
      <c r="A59" s="31" t="s">
        <v>67</v>
      </c>
      <c r="B59" s="32">
        <v>25000</v>
      </c>
      <c r="C59" s="33">
        <v>18300</v>
      </c>
      <c r="D59" s="33">
        <v>6900</v>
      </c>
      <c r="E59" s="34">
        <v>0.27600000000000002</v>
      </c>
      <c r="F59" s="34">
        <v>0.27</v>
      </c>
    </row>
    <row r="60" spans="1:6">
      <c r="A60" s="31" t="s">
        <v>68</v>
      </c>
      <c r="B60" s="32">
        <v>13500</v>
      </c>
      <c r="C60" s="33">
        <v>9500</v>
      </c>
      <c r="D60" s="33">
        <v>4500</v>
      </c>
      <c r="E60" s="34">
        <v>0.33333333333333331</v>
      </c>
      <c r="F60" s="34">
        <v>0.31</v>
      </c>
    </row>
    <row r="61" spans="1:6">
      <c r="A61" s="31" t="s">
        <v>69</v>
      </c>
      <c r="B61" s="32">
        <v>13000</v>
      </c>
      <c r="C61" s="33">
        <v>7000</v>
      </c>
      <c r="D61" s="33">
        <v>6000</v>
      </c>
      <c r="E61" s="34">
        <v>0.46153846153846156</v>
      </c>
      <c r="F61" s="34">
        <v>0.46</v>
      </c>
    </row>
    <row r="62" spans="1:6">
      <c r="A62" s="31" t="s">
        <v>70</v>
      </c>
      <c r="B62" s="32">
        <v>8300</v>
      </c>
      <c r="C62" s="33">
        <v>5000</v>
      </c>
      <c r="D62" s="33">
        <v>3300</v>
      </c>
      <c r="E62" s="34">
        <v>0.39759036144578314</v>
      </c>
      <c r="F62" s="34">
        <v>0.4</v>
      </c>
    </row>
    <row r="63" spans="1:6">
      <c r="A63" s="31" t="s">
        <v>71</v>
      </c>
      <c r="B63" s="32">
        <v>4060</v>
      </c>
      <c r="C63" s="33">
        <v>2704</v>
      </c>
      <c r="D63" s="33">
        <v>1350</v>
      </c>
      <c r="E63" s="34">
        <v>0.33251231527093594</v>
      </c>
      <c r="F63" s="34">
        <v>0.33</v>
      </c>
    </row>
    <row r="64" spans="1:6">
      <c r="A64" s="31" t="s">
        <v>72</v>
      </c>
      <c r="B64" s="32">
        <v>2540</v>
      </c>
      <c r="C64" s="33">
        <v>1601</v>
      </c>
      <c r="D64" s="33">
        <v>939</v>
      </c>
      <c r="E64" s="34">
        <v>0.36968503937007874</v>
      </c>
      <c r="F64" s="34">
        <v>0.37</v>
      </c>
    </row>
    <row r="65" spans="1:6" ht="15.75" thickBot="1">
      <c r="A65" s="35" t="s">
        <v>73</v>
      </c>
      <c r="B65" s="54">
        <v>7773</v>
      </c>
      <c r="C65" s="55">
        <v>4840</v>
      </c>
      <c r="D65" s="55">
        <v>2933</v>
      </c>
      <c r="E65" s="56">
        <v>0.37733178952785285</v>
      </c>
      <c r="F65" s="56">
        <v>0.37</v>
      </c>
    </row>
    <row r="66" spans="1:6" ht="15.75" thickBot="1">
      <c r="A66" s="39" t="s">
        <v>46</v>
      </c>
      <c r="B66" s="41">
        <f>SUM(B54:B65)</f>
        <v>514064</v>
      </c>
      <c r="C66" s="41">
        <f t="shared" ref="C66" si="9">SUM(C54:C65)</f>
        <v>398513</v>
      </c>
      <c r="D66" s="41">
        <f>B66-C66</f>
        <v>115551</v>
      </c>
      <c r="E66" s="97">
        <f>D66/B66</f>
        <v>0.22477940489900089</v>
      </c>
    </row>
    <row r="82" s="4" customFormat="1"/>
  </sheetData>
  <sortState xmlns:xlrd2="http://schemas.microsoft.com/office/spreadsheetml/2017/richdata2" ref="A21:D32">
    <sortCondition ref="A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E76B-995B-4764-80D2-32608E8820CE}">
  <dimension ref="A1:BB98"/>
  <sheetViews>
    <sheetView workbookViewId="0">
      <selection activeCell="I32" sqref="I32"/>
    </sheetView>
  </sheetViews>
  <sheetFormatPr defaultColWidth="9.140625" defaultRowHeight="15"/>
  <cols>
    <col min="1" max="1" width="24.5703125" style="21" bestFit="1" customWidth="1"/>
    <col min="2" max="2" width="34.28515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6" style="21" customWidth="1"/>
    <col min="8" max="8" width="2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customHeight="1"/>
    <row r="3" spans="1:54" s="107" customFormat="1" ht="15.75" customHeight="1" thickBot="1">
      <c r="A3" s="107" t="s">
        <v>27</v>
      </c>
      <c r="B3" s="107">
        <v>2020</v>
      </c>
    </row>
    <row r="4" spans="1:54" s="107" customFormat="1" ht="15.75" customHeight="1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7" customFormat="1" ht="15.75" customHeight="1">
      <c r="A5" s="27" t="s">
        <v>74</v>
      </c>
      <c r="B5" s="66" t="s">
        <v>196</v>
      </c>
      <c r="C5" s="29">
        <v>79788</v>
      </c>
      <c r="D5" s="29">
        <v>58470</v>
      </c>
      <c r="E5" s="29">
        <f t="shared" ref="E5:E17" si="0">C5-D5</f>
        <v>21318</v>
      </c>
      <c r="F5" s="51">
        <f t="shared" ref="F5:F17" si="1">E5/C5</f>
        <v>0.26718303504286361</v>
      </c>
    </row>
    <row r="6" spans="1:54" s="107" customFormat="1" ht="15.75" customHeight="1">
      <c r="A6" s="31" t="s">
        <v>75</v>
      </c>
      <c r="B6" s="66" t="s">
        <v>196</v>
      </c>
      <c r="C6" s="33">
        <v>30962</v>
      </c>
      <c r="D6" s="33">
        <v>23591</v>
      </c>
      <c r="E6" s="33">
        <f t="shared" si="0"/>
        <v>7371</v>
      </c>
      <c r="F6" s="34">
        <f t="shared" si="1"/>
        <v>0.23806601640720884</v>
      </c>
    </row>
    <row r="7" spans="1:54" s="107" customFormat="1" ht="15.75" customHeight="1">
      <c r="A7" s="31" t="s">
        <v>76</v>
      </c>
      <c r="B7" s="66" t="s">
        <v>196</v>
      </c>
      <c r="C7" s="33">
        <v>64297.2</v>
      </c>
      <c r="D7" s="33">
        <v>46173</v>
      </c>
      <c r="E7" s="33">
        <f t="shared" si="0"/>
        <v>18124.199999999997</v>
      </c>
      <c r="F7" s="34">
        <f t="shared" si="1"/>
        <v>0.28188163714749626</v>
      </c>
    </row>
    <row r="8" spans="1:54" s="107" customFormat="1" ht="15.75" customHeight="1">
      <c r="A8" s="31" t="s">
        <v>77</v>
      </c>
      <c r="B8" s="66" t="s">
        <v>175</v>
      </c>
      <c r="C8" s="33">
        <v>9464</v>
      </c>
      <c r="D8" s="33">
        <v>6554</v>
      </c>
      <c r="E8" s="33">
        <f t="shared" si="0"/>
        <v>2910</v>
      </c>
      <c r="F8" s="34">
        <f t="shared" si="1"/>
        <v>0.30748098055790363</v>
      </c>
    </row>
    <row r="9" spans="1:54" s="107" customFormat="1" ht="15.75" customHeight="1">
      <c r="A9" s="31" t="s">
        <v>78</v>
      </c>
      <c r="B9" s="32" t="s">
        <v>196</v>
      </c>
      <c r="C9" s="33">
        <v>10605.04</v>
      </c>
      <c r="D9" s="33">
        <v>6772</v>
      </c>
      <c r="E9" s="33">
        <f t="shared" si="0"/>
        <v>3833.0400000000009</v>
      </c>
      <c r="F9" s="34">
        <f t="shared" si="1"/>
        <v>0.36143569472628112</v>
      </c>
    </row>
    <row r="10" spans="1:54" s="107" customFormat="1" ht="15.75" customHeight="1">
      <c r="A10" s="31" t="s">
        <v>79</v>
      </c>
      <c r="B10" s="32" t="s">
        <v>58</v>
      </c>
      <c r="C10" s="33">
        <v>4500</v>
      </c>
      <c r="D10" s="33">
        <v>3295</v>
      </c>
      <c r="E10" s="33">
        <f t="shared" si="0"/>
        <v>1205</v>
      </c>
      <c r="F10" s="34">
        <f t="shared" si="1"/>
        <v>0.26777777777777778</v>
      </c>
    </row>
    <row r="11" spans="1:54" s="107" customFormat="1" ht="15.75" customHeight="1">
      <c r="A11" s="31" t="s">
        <v>80</v>
      </c>
      <c r="B11" s="32" t="s">
        <v>188</v>
      </c>
      <c r="C11" s="33">
        <v>40472</v>
      </c>
      <c r="D11" s="33">
        <v>28606</v>
      </c>
      <c r="E11" s="33">
        <f t="shared" si="0"/>
        <v>11866</v>
      </c>
      <c r="F11" s="34">
        <f t="shared" si="1"/>
        <v>0.29319035382486658</v>
      </c>
    </row>
    <row r="12" spans="1:54" s="107" customFormat="1" ht="15.75" customHeight="1">
      <c r="A12" s="31" t="s">
        <v>81</v>
      </c>
      <c r="B12" s="103" t="s">
        <v>175</v>
      </c>
      <c r="C12" s="33">
        <v>8991</v>
      </c>
      <c r="D12" s="33">
        <v>6869</v>
      </c>
      <c r="E12" s="33">
        <f t="shared" si="0"/>
        <v>2122</v>
      </c>
      <c r="F12" s="34">
        <f t="shared" si="1"/>
        <v>0.23601379156934713</v>
      </c>
    </row>
    <row r="13" spans="1:54" s="107" customFormat="1" ht="15.75" customHeight="1">
      <c r="A13" s="31" t="s">
        <v>82</v>
      </c>
      <c r="B13" s="32" t="s">
        <v>58</v>
      </c>
      <c r="C13" s="33">
        <v>8415</v>
      </c>
      <c r="D13" s="33">
        <v>6536</v>
      </c>
      <c r="E13" s="33">
        <f t="shared" si="0"/>
        <v>1879</v>
      </c>
      <c r="F13" s="34">
        <f t="shared" si="1"/>
        <v>0.22329174093879975</v>
      </c>
    </row>
    <row r="14" spans="1:54" s="107" customFormat="1" ht="15.75" customHeight="1">
      <c r="A14" s="31" t="s">
        <v>83</v>
      </c>
      <c r="B14" s="32" t="s">
        <v>175</v>
      </c>
      <c r="C14" s="33">
        <v>5055</v>
      </c>
      <c r="D14" s="33">
        <v>3492</v>
      </c>
      <c r="E14" s="33">
        <f t="shared" si="0"/>
        <v>1563</v>
      </c>
      <c r="F14" s="34">
        <f t="shared" si="1"/>
        <v>0.30919881305637981</v>
      </c>
    </row>
    <row r="15" spans="1:54" s="107" customFormat="1" ht="15.75" customHeight="1">
      <c r="A15" s="31" t="s">
        <v>84</v>
      </c>
      <c r="B15" s="32" t="s">
        <v>177</v>
      </c>
      <c r="C15" s="33">
        <v>4006</v>
      </c>
      <c r="D15" s="33">
        <v>2996</v>
      </c>
      <c r="E15" s="33">
        <f t="shared" si="0"/>
        <v>1010</v>
      </c>
      <c r="F15" s="34">
        <f t="shared" si="1"/>
        <v>0.25212181727408889</v>
      </c>
    </row>
    <row r="16" spans="1:54" s="107" customFormat="1" ht="15.75" customHeight="1" thickBot="1">
      <c r="A16" s="35" t="s">
        <v>85</v>
      </c>
      <c r="B16" s="57" t="s">
        <v>58</v>
      </c>
      <c r="C16" s="55">
        <v>4061</v>
      </c>
      <c r="D16" s="55">
        <v>2608</v>
      </c>
      <c r="E16" s="55">
        <f t="shared" si="0"/>
        <v>1453</v>
      </c>
      <c r="F16" s="56">
        <f t="shared" si="1"/>
        <v>0.3577936468850037</v>
      </c>
    </row>
    <row r="17" spans="1:9" s="107" customFormat="1" ht="15.75" customHeight="1" thickBot="1">
      <c r="A17" s="39" t="s">
        <v>46</v>
      </c>
      <c r="B17" s="52"/>
      <c r="C17" s="53">
        <f>SUM(C5:C16)</f>
        <v>270616.24</v>
      </c>
      <c r="D17" s="53">
        <f>SUM(D5:D16)</f>
        <v>195962</v>
      </c>
      <c r="E17" s="53">
        <f t="shared" si="0"/>
        <v>74654.239999999991</v>
      </c>
      <c r="F17" s="96">
        <f t="shared" si="1"/>
        <v>0.27586755325548828</v>
      </c>
    </row>
    <row r="18" spans="1:9" s="107" customFormat="1" ht="15.75" customHeight="1"/>
    <row r="19" spans="1:9" s="106" customFormat="1" ht="15.75" thickBot="1">
      <c r="A19" s="106" t="s">
        <v>27</v>
      </c>
      <c r="B19" s="106">
        <v>2018</v>
      </c>
    </row>
    <row r="20" spans="1:9" s="106" customFormat="1" ht="15.75" thickBot="1">
      <c r="A20" s="23" t="s">
        <v>31</v>
      </c>
      <c r="B20" s="24" t="s">
        <v>55</v>
      </c>
      <c r="C20" s="25" t="s">
        <v>32</v>
      </c>
      <c r="D20" s="25" t="s">
        <v>33</v>
      </c>
      <c r="E20" s="26" t="s">
        <v>34</v>
      </c>
      <c r="F20" s="26" t="s">
        <v>35</v>
      </c>
    </row>
    <row r="21" spans="1:9" s="106" customFormat="1">
      <c r="A21" s="27" t="s">
        <v>74</v>
      </c>
      <c r="B21" s="66" t="s">
        <v>178</v>
      </c>
      <c r="C21" s="29">
        <v>56655</v>
      </c>
      <c r="D21" s="29">
        <v>41473</v>
      </c>
      <c r="E21" s="29">
        <f t="shared" ref="E21:E33" si="2">C21-D21</f>
        <v>15182</v>
      </c>
      <c r="F21" s="51">
        <f t="shared" ref="F21:F33" si="3">E21/C21</f>
        <v>0.2679728179331039</v>
      </c>
    </row>
    <row r="22" spans="1:9" s="106" customFormat="1">
      <c r="A22" s="31" t="s">
        <v>75</v>
      </c>
      <c r="B22" s="66" t="s">
        <v>175</v>
      </c>
      <c r="C22" s="22">
        <v>31875</v>
      </c>
      <c r="D22" s="33">
        <v>24144</v>
      </c>
      <c r="E22" s="33">
        <f t="shared" si="2"/>
        <v>7731</v>
      </c>
      <c r="F22" s="34">
        <f t="shared" si="3"/>
        <v>0.24254117647058823</v>
      </c>
    </row>
    <row r="23" spans="1:9" s="106" customFormat="1">
      <c r="A23" s="31" t="s">
        <v>76</v>
      </c>
      <c r="B23" s="66" t="s">
        <v>175</v>
      </c>
      <c r="C23" s="33">
        <v>67706</v>
      </c>
      <c r="D23" s="33">
        <v>46869</v>
      </c>
      <c r="E23" s="33">
        <f t="shared" si="2"/>
        <v>20837</v>
      </c>
      <c r="F23" s="34">
        <f t="shared" si="3"/>
        <v>0.30775706732047381</v>
      </c>
    </row>
    <row r="24" spans="1:9" s="106" customFormat="1">
      <c r="A24" s="31" t="s">
        <v>77</v>
      </c>
      <c r="B24" s="66" t="s">
        <v>175</v>
      </c>
      <c r="C24" s="33">
        <v>9464</v>
      </c>
      <c r="D24" s="33">
        <v>6554</v>
      </c>
      <c r="E24" s="33">
        <f t="shared" si="2"/>
        <v>2910</v>
      </c>
      <c r="F24" s="34">
        <f t="shared" si="3"/>
        <v>0.30748098055790363</v>
      </c>
    </row>
    <row r="25" spans="1:9" s="106" customFormat="1">
      <c r="A25" s="31" t="s">
        <v>78</v>
      </c>
      <c r="B25" s="32" t="s">
        <v>175</v>
      </c>
      <c r="C25" s="33">
        <v>11314</v>
      </c>
      <c r="D25" s="33">
        <v>7435</v>
      </c>
      <c r="E25" s="33">
        <f t="shared" si="2"/>
        <v>3879</v>
      </c>
      <c r="F25" s="34">
        <f t="shared" si="3"/>
        <v>0.34284956690825524</v>
      </c>
    </row>
    <row r="26" spans="1:9" s="106" customFormat="1">
      <c r="A26" s="31" t="s">
        <v>79</v>
      </c>
      <c r="B26" s="32" t="s">
        <v>58</v>
      </c>
      <c r="C26" s="33">
        <v>4500</v>
      </c>
      <c r="D26" s="33">
        <v>3295</v>
      </c>
      <c r="E26" s="33">
        <f t="shared" si="2"/>
        <v>1205</v>
      </c>
      <c r="F26" s="34">
        <f t="shared" si="3"/>
        <v>0.26777777777777778</v>
      </c>
    </row>
    <row r="27" spans="1:9" s="106" customFormat="1">
      <c r="A27" s="31" t="s">
        <v>80</v>
      </c>
      <c r="B27" s="32" t="s">
        <v>188</v>
      </c>
      <c r="C27" s="33">
        <v>40472</v>
      </c>
      <c r="D27" s="33">
        <v>28606</v>
      </c>
      <c r="E27" s="33">
        <f t="shared" si="2"/>
        <v>11866</v>
      </c>
      <c r="F27" s="34">
        <f t="shared" si="3"/>
        <v>0.29319035382486658</v>
      </c>
      <c r="H27" s="106" t="s">
        <v>86</v>
      </c>
      <c r="I27" s="106" t="s">
        <v>189</v>
      </c>
    </row>
    <row r="28" spans="1:9" s="106" customFormat="1">
      <c r="A28" s="31" t="s">
        <v>81</v>
      </c>
      <c r="B28" s="103" t="s">
        <v>175</v>
      </c>
      <c r="C28" s="33">
        <v>8991</v>
      </c>
      <c r="D28" s="33">
        <v>6869</v>
      </c>
      <c r="E28" s="33">
        <f t="shared" si="2"/>
        <v>2122</v>
      </c>
      <c r="F28" s="34">
        <f t="shared" si="3"/>
        <v>0.23601379156934713</v>
      </c>
    </row>
    <row r="29" spans="1:9" s="106" customFormat="1">
      <c r="A29" s="31" t="s">
        <v>82</v>
      </c>
      <c r="B29" s="32" t="s">
        <v>58</v>
      </c>
      <c r="C29" s="33">
        <v>8415</v>
      </c>
      <c r="D29" s="33">
        <v>6536</v>
      </c>
      <c r="E29" s="33">
        <f t="shared" si="2"/>
        <v>1879</v>
      </c>
      <c r="F29" s="34">
        <f t="shared" si="3"/>
        <v>0.22329174093879975</v>
      </c>
    </row>
    <row r="30" spans="1:9" s="106" customFormat="1">
      <c r="A30" s="31" t="s">
        <v>83</v>
      </c>
      <c r="B30" s="32" t="s">
        <v>175</v>
      </c>
      <c r="C30" s="33">
        <v>5055</v>
      </c>
      <c r="D30" s="33">
        <v>3492</v>
      </c>
      <c r="E30" s="33">
        <f t="shared" si="2"/>
        <v>1563</v>
      </c>
      <c r="F30" s="34">
        <f t="shared" si="3"/>
        <v>0.30919881305637981</v>
      </c>
    </row>
    <row r="31" spans="1:9" s="106" customFormat="1">
      <c r="A31" s="31" t="s">
        <v>84</v>
      </c>
      <c r="B31" s="32" t="s">
        <v>177</v>
      </c>
      <c r="C31" s="33">
        <v>4006</v>
      </c>
      <c r="D31" s="33">
        <v>2996</v>
      </c>
      <c r="E31" s="33">
        <f t="shared" si="2"/>
        <v>1010</v>
      </c>
      <c r="F31" s="34">
        <f t="shared" si="3"/>
        <v>0.25212181727408889</v>
      </c>
    </row>
    <row r="32" spans="1:9" s="106" customFormat="1" ht="15.75" thickBot="1">
      <c r="A32" s="35" t="s">
        <v>85</v>
      </c>
      <c r="B32" s="57" t="s">
        <v>58</v>
      </c>
      <c r="C32" s="55">
        <v>4061</v>
      </c>
      <c r="D32" s="55">
        <v>2608</v>
      </c>
      <c r="E32" s="55">
        <f t="shared" si="2"/>
        <v>1453</v>
      </c>
      <c r="F32" s="56">
        <f t="shared" si="3"/>
        <v>0.3577936468850037</v>
      </c>
    </row>
    <row r="33" spans="1:6" s="106" customFormat="1" ht="15.75" thickBot="1">
      <c r="A33" s="39" t="s">
        <v>46</v>
      </c>
      <c r="B33" s="52"/>
      <c r="C33" s="53">
        <f>SUM(C21:C32)</f>
        <v>252514</v>
      </c>
      <c r="D33" s="53">
        <f>SUM(D21:D32)</f>
        <v>180877</v>
      </c>
      <c r="E33" s="53">
        <f t="shared" si="2"/>
        <v>71637</v>
      </c>
      <c r="F33" s="100">
        <f t="shared" si="3"/>
        <v>0.28369516145639451</v>
      </c>
    </row>
    <row r="34" spans="1:6" s="106" customFormat="1"/>
    <row r="35" spans="1:6" ht="15.75" thickBot="1">
      <c r="A35" s="21" t="s">
        <v>27</v>
      </c>
      <c r="B35" s="21">
        <v>2016</v>
      </c>
    </row>
    <row r="36" spans="1:6" ht="15.75" thickBot="1">
      <c r="A36" s="23" t="s">
        <v>31</v>
      </c>
      <c r="B36" s="24" t="s">
        <v>55</v>
      </c>
      <c r="C36" s="25" t="s">
        <v>32</v>
      </c>
      <c r="D36" s="25" t="s">
        <v>33</v>
      </c>
      <c r="E36" s="26" t="s">
        <v>34</v>
      </c>
      <c r="F36" s="26" t="s">
        <v>35</v>
      </c>
    </row>
    <row r="37" spans="1:6">
      <c r="A37" s="27" t="s">
        <v>74</v>
      </c>
      <c r="B37" s="65" t="s">
        <v>56</v>
      </c>
      <c r="C37" s="29">
        <v>52200</v>
      </c>
      <c r="D37" s="29">
        <f>41.793*1000</f>
        <v>41793</v>
      </c>
      <c r="E37" s="29">
        <f t="shared" ref="E37:E49" si="4">C37-D37</f>
        <v>10407</v>
      </c>
      <c r="F37" s="51">
        <f t="shared" ref="F37:F49" si="5">E37/C37</f>
        <v>0.19936781609195403</v>
      </c>
    </row>
    <row r="38" spans="1:6">
      <c r="A38" s="31" t="s">
        <v>75</v>
      </c>
      <c r="B38" s="66" t="s">
        <v>56</v>
      </c>
      <c r="C38" s="22">
        <v>30890</v>
      </c>
      <c r="D38" s="33">
        <v>22592</v>
      </c>
      <c r="E38" s="33">
        <f t="shared" si="4"/>
        <v>8298</v>
      </c>
      <c r="F38" s="34">
        <f t="shared" si="5"/>
        <v>0.26863062479766914</v>
      </c>
    </row>
    <row r="39" spans="1:6">
      <c r="A39" s="31" t="s">
        <v>76</v>
      </c>
      <c r="B39" s="66" t="s">
        <v>56</v>
      </c>
      <c r="C39" s="33">
        <v>62312</v>
      </c>
      <c r="D39" s="33">
        <v>42949</v>
      </c>
      <c r="E39" s="33">
        <f t="shared" si="4"/>
        <v>19363</v>
      </c>
      <c r="F39" s="34">
        <f t="shared" si="5"/>
        <v>0.31074271408396459</v>
      </c>
    </row>
    <row r="40" spans="1:6">
      <c r="A40" s="31" t="s">
        <v>77</v>
      </c>
      <c r="B40" s="66" t="s">
        <v>56</v>
      </c>
      <c r="C40" s="33">
        <v>8808</v>
      </c>
      <c r="D40" s="33">
        <v>5987</v>
      </c>
      <c r="E40" s="33">
        <f t="shared" si="4"/>
        <v>2821</v>
      </c>
      <c r="F40" s="34">
        <f t="shared" si="5"/>
        <v>0.32027702089009991</v>
      </c>
    </row>
    <row r="41" spans="1:6">
      <c r="A41" s="31" t="s">
        <v>78</v>
      </c>
      <c r="B41" s="32" t="s">
        <v>58</v>
      </c>
      <c r="C41" s="33">
        <v>11271</v>
      </c>
      <c r="D41" s="33">
        <v>7022</v>
      </c>
      <c r="E41" s="33">
        <f t="shared" si="4"/>
        <v>4249</v>
      </c>
      <c r="F41" s="34">
        <f t="shared" si="5"/>
        <v>0.3769851832135569</v>
      </c>
    </row>
    <row r="42" spans="1:6">
      <c r="A42" s="31" t="s">
        <v>79</v>
      </c>
      <c r="B42" s="32" t="s">
        <v>58</v>
      </c>
      <c r="C42" s="33">
        <v>4500</v>
      </c>
      <c r="D42" s="33">
        <v>3295</v>
      </c>
      <c r="E42" s="33">
        <f t="shared" si="4"/>
        <v>1205</v>
      </c>
      <c r="F42" s="34">
        <f t="shared" si="5"/>
        <v>0.26777777777777778</v>
      </c>
    </row>
    <row r="43" spans="1:6">
      <c r="A43" s="31" t="s">
        <v>80</v>
      </c>
      <c r="B43" s="32" t="s">
        <v>58</v>
      </c>
      <c r="C43" s="33">
        <v>41034</v>
      </c>
      <c r="D43" s="33">
        <v>29545</v>
      </c>
      <c r="E43" s="33">
        <f t="shared" si="4"/>
        <v>11489</v>
      </c>
      <c r="F43" s="34">
        <f t="shared" si="5"/>
        <v>0.27998732758200517</v>
      </c>
    </row>
    <row r="44" spans="1:6">
      <c r="A44" s="31" t="s">
        <v>81</v>
      </c>
      <c r="B44" s="21" t="s">
        <v>56</v>
      </c>
      <c r="C44" s="33">
        <v>8563</v>
      </c>
      <c r="D44" s="33">
        <v>6412</v>
      </c>
      <c r="E44" s="33">
        <f t="shared" si="4"/>
        <v>2151</v>
      </c>
      <c r="F44" s="34">
        <f t="shared" si="5"/>
        <v>0.25119701039355369</v>
      </c>
    </row>
    <row r="45" spans="1:6">
      <c r="A45" s="31" t="s">
        <v>82</v>
      </c>
      <c r="B45" s="32" t="s">
        <v>58</v>
      </c>
      <c r="C45" s="33">
        <v>8415</v>
      </c>
      <c r="D45" s="33">
        <v>6536</v>
      </c>
      <c r="E45" s="33">
        <f t="shared" si="4"/>
        <v>1879</v>
      </c>
      <c r="F45" s="34">
        <f t="shared" si="5"/>
        <v>0.22329174093879975</v>
      </c>
    </row>
    <row r="46" spans="1:6">
      <c r="A46" s="31" t="s">
        <v>83</v>
      </c>
      <c r="B46" s="32" t="s">
        <v>56</v>
      </c>
      <c r="C46" s="33">
        <v>4878</v>
      </c>
      <c r="D46" s="33">
        <v>3273</v>
      </c>
      <c r="E46" s="33">
        <f t="shared" si="4"/>
        <v>1605</v>
      </c>
      <c r="F46" s="34">
        <f t="shared" si="5"/>
        <v>0.32902829028290281</v>
      </c>
    </row>
    <row r="47" spans="1:6">
      <c r="A47" s="31" t="s">
        <v>84</v>
      </c>
      <c r="B47" s="32" t="s">
        <v>56</v>
      </c>
      <c r="C47" s="33">
        <v>4400</v>
      </c>
      <c r="D47" s="33">
        <v>3144</v>
      </c>
      <c r="E47" s="33">
        <f t="shared" si="4"/>
        <v>1256</v>
      </c>
      <c r="F47" s="34">
        <f t="shared" si="5"/>
        <v>0.28545454545454546</v>
      </c>
    </row>
    <row r="48" spans="1:6" ht="15.75" thickBot="1">
      <c r="A48" s="35" t="s">
        <v>85</v>
      </c>
      <c r="B48" s="57" t="s">
        <v>58</v>
      </c>
      <c r="C48" s="55">
        <v>4061</v>
      </c>
      <c r="D48" s="55">
        <v>2608</v>
      </c>
      <c r="E48" s="55">
        <f t="shared" si="4"/>
        <v>1453</v>
      </c>
      <c r="F48" s="56">
        <f t="shared" si="5"/>
        <v>0.3577936468850037</v>
      </c>
    </row>
    <row r="49" spans="1:9" ht="15.75" thickBot="1">
      <c r="A49" s="39" t="s">
        <v>46</v>
      </c>
      <c r="B49" s="52"/>
      <c r="C49" s="53">
        <f>SUM(C37:C48)</f>
        <v>241332</v>
      </c>
      <c r="D49" s="53">
        <f>SUM(D37:D48)</f>
        <v>175156</v>
      </c>
      <c r="E49" s="53">
        <f t="shared" si="4"/>
        <v>66176</v>
      </c>
      <c r="F49" s="100">
        <f t="shared" si="5"/>
        <v>0.27421145973182171</v>
      </c>
    </row>
    <row r="52" spans="1:9" ht="15.75" thickBot="1">
      <c r="A52" s="21" t="s">
        <v>27</v>
      </c>
      <c r="C52" s="21">
        <v>2010</v>
      </c>
    </row>
    <row r="53" spans="1:9" ht="15.75" thickBot="1">
      <c r="A53" s="23" t="s">
        <v>31</v>
      </c>
      <c r="B53" s="24" t="s">
        <v>32</v>
      </c>
      <c r="C53" s="25" t="s">
        <v>33</v>
      </c>
      <c r="D53" s="25" t="s">
        <v>34</v>
      </c>
      <c r="E53" s="26" t="s">
        <v>35</v>
      </c>
      <c r="F53" s="26" t="s">
        <v>61</v>
      </c>
    </row>
    <row r="54" spans="1:9">
      <c r="A54" s="27" t="s">
        <v>74</v>
      </c>
      <c r="B54" s="59">
        <v>55122</v>
      </c>
      <c r="C54" s="60">
        <v>40552</v>
      </c>
      <c r="D54" s="60">
        <f t="shared" ref="D54:D65" si="6">B54-C54</f>
        <v>14570</v>
      </c>
      <c r="E54" s="30">
        <f>D54/B54</f>
        <v>0.26432277493559742</v>
      </c>
      <c r="F54" s="51">
        <v>0.26400000000000001</v>
      </c>
    </row>
    <row r="55" spans="1:9">
      <c r="A55" s="31" t="s">
        <v>75</v>
      </c>
      <c r="B55" s="61">
        <v>34613</v>
      </c>
      <c r="C55" s="62">
        <v>26285</v>
      </c>
      <c r="D55" s="62">
        <f t="shared" si="6"/>
        <v>8328</v>
      </c>
      <c r="E55" s="34">
        <f>D55/B55</f>
        <v>0.24060324155664056</v>
      </c>
      <c r="F55" s="34"/>
    </row>
    <row r="56" spans="1:9">
      <c r="A56" s="31" t="s">
        <v>76</v>
      </c>
      <c r="B56" s="32">
        <v>60922</v>
      </c>
      <c r="C56" s="33">
        <v>45775</v>
      </c>
      <c r="D56" s="33">
        <f t="shared" si="6"/>
        <v>15147</v>
      </c>
      <c r="E56" s="34">
        <f t="shared" ref="E56" si="7">D56/B56</f>
        <v>0.2486293949640524</v>
      </c>
      <c r="F56" s="34">
        <v>0.24859999999999999</v>
      </c>
    </row>
    <row r="57" spans="1:9">
      <c r="A57" s="31" t="s">
        <v>77</v>
      </c>
      <c r="B57" s="32">
        <v>9813</v>
      </c>
      <c r="C57" s="33">
        <v>6568</v>
      </c>
      <c r="D57" s="33">
        <f t="shared" si="6"/>
        <v>3245</v>
      </c>
      <c r="E57" s="34">
        <f>D57/B57</f>
        <v>0.33068378681341076</v>
      </c>
      <c r="F57" s="34"/>
    </row>
    <row r="58" spans="1:9">
      <c r="A58" s="31" t="s">
        <v>78</v>
      </c>
      <c r="B58" s="32">
        <v>11271</v>
      </c>
      <c r="C58" s="33">
        <v>7022</v>
      </c>
      <c r="D58" s="33">
        <f t="shared" si="6"/>
        <v>4249</v>
      </c>
      <c r="E58" s="34">
        <f>D58/B58</f>
        <v>0.3769851832135569</v>
      </c>
      <c r="F58" s="34"/>
    </row>
    <row r="59" spans="1:9">
      <c r="A59" s="31" t="s">
        <v>79</v>
      </c>
      <c r="B59" s="32">
        <v>4500</v>
      </c>
      <c r="C59" s="33">
        <v>3295</v>
      </c>
      <c r="D59" s="33">
        <f t="shared" si="6"/>
        <v>1205</v>
      </c>
      <c r="E59" s="34">
        <f>D59/B59</f>
        <v>0.26777777777777778</v>
      </c>
      <c r="F59" s="34">
        <v>0.27</v>
      </c>
    </row>
    <row r="60" spans="1:9">
      <c r="A60" s="31" t="s">
        <v>80</v>
      </c>
      <c r="B60" s="32">
        <v>41034</v>
      </c>
      <c r="C60" s="33">
        <v>29545</v>
      </c>
      <c r="D60" s="33">
        <f t="shared" si="6"/>
        <v>11489</v>
      </c>
      <c r="E60" s="34">
        <f>D60/B60</f>
        <v>0.27998732758200517</v>
      </c>
      <c r="F60" s="34">
        <v>0.28000000000000003</v>
      </c>
    </row>
    <row r="61" spans="1:9">
      <c r="A61" s="31" t="s">
        <v>81</v>
      </c>
      <c r="B61" s="32">
        <v>9832</v>
      </c>
      <c r="C61" s="33">
        <v>7569</v>
      </c>
      <c r="D61" s="33">
        <f t="shared" si="6"/>
        <v>2263</v>
      </c>
      <c r="E61" s="34">
        <f t="shared" ref="E61:E65" si="8">D61/B61</f>
        <v>0.23016680227827502</v>
      </c>
      <c r="F61" s="34"/>
    </row>
    <row r="62" spans="1:9">
      <c r="A62" s="31" t="s">
        <v>82</v>
      </c>
      <c r="B62" s="32">
        <v>8415</v>
      </c>
      <c r="C62" s="33">
        <v>6536</v>
      </c>
      <c r="D62" s="33">
        <f t="shared" si="6"/>
        <v>1879</v>
      </c>
      <c r="E62" s="34">
        <f t="shared" si="8"/>
        <v>0.22329174093879975</v>
      </c>
      <c r="F62" s="34">
        <v>0.22</v>
      </c>
    </row>
    <row r="63" spans="1:9">
      <c r="A63" s="31" t="s">
        <v>83</v>
      </c>
      <c r="B63" s="32">
        <v>5297</v>
      </c>
      <c r="C63" s="101">
        <f>B63*0.722</f>
        <v>3824.4339999999997</v>
      </c>
      <c r="D63" s="33">
        <f t="shared" si="6"/>
        <v>1472.5660000000003</v>
      </c>
      <c r="E63" s="34">
        <f t="shared" si="8"/>
        <v>0.27800000000000002</v>
      </c>
      <c r="F63" s="34">
        <v>0.27800000000000002</v>
      </c>
      <c r="H63" s="99" t="s">
        <v>86</v>
      </c>
      <c r="I63" s="64" t="s">
        <v>87</v>
      </c>
    </row>
    <row r="64" spans="1:9">
      <c r="A64" s="31" t="s">
        <v>84</v>
      </c>
      <c r="B64" s="32">
        <v>4889</v>
      </c>
      <c r="C64" s="58">
        <f>B64*0.733</f>
        <v>3583.6369999999997</v>
      </c>
      <c r="D64" s="33">
        <f t="shared" si="6"/>
        <v>1305.3630000000003</v>
      </c>
      <c r="E64" s="34">
        <f t="shared" si="8"/>
        <v>0.26700000000000007</v>
      </c>
      <c r="F64" s="34"/>
      <c r="H64" s="20" t="s">
        <v>86</v>
      </c>
      <c r="I64" s="3" t="s">
        <v>88</v>
      </c>
    </row>
    <row r="65" spans="1:6" ht="15.75" thickBot="1">
      <c r="A65" s="35" t="s">
        <v>85</v>
      </c>
      <c r="B65" s="54">
        <v>4061</v>
      </c>
      <c r="C65" s="55">
        <v>2608</v>
      </c>
      <c r="D65" s="55">
        <f t="shared" si="6"/>
        <v>1453</v>
      </c>
      <c r="E65" s="56">
        <f t="shared" si="8"/>
        <v>0.3577936468850037</v>
      </c>
      <c r="F65" s="56">
        <v>0.35599999999999998</v>
      </c>
    </row>
    <row r="66" spans="1:6" ht="15.75" thickBot="1">
      <c r="A66" s="39" t="s">
        <v>46</v>
      </c>
      <c r="B66" s="52">
        <f>SUM(B54:B65)</f>
        <v>249769</v>
      </c>
      <c r="C66" s="53">
        <f>SUM(C54:C65)</f>
        <v>183163.071</v>
      </c>
      <c r="D66" s="53">
        <f>SUM(D54:D65)</f>
        <v>66605.929000000004</v>
      </c>
      <c r="E66" s="100">
        <f>D66/B66</f>
        <v>0.26667011919013167</v>
      </c>
    </row>
    <row r="98" s="4" customFormat="1"/>
  </sheetData>
  <sortState xmlns:xlrd2="http://schemas.microsoft.com/office/spreadsheetml/2017/richdata2" ref="A38:A48">
    <sortCondition ref="A3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7466-31BC-4B84-B644-3B70F8122F0C}">
  <dimension ref="A1:BB54"/>
  <sheetViews>
    <sheetView workbookViewId="0">
      <selection activeCell="G28" sqref="G28"/>
    </sheetView>
  </sheetViews>
  <sheetFormatPr defaultColWidth="9.140625" defaultRowHeight="15"/>
  <cols>
    <col min="1" max="1" width="24.5703125" style="21" bestFit="1" customWidth="1"/>
    <col min="2" max="2" width="34.28515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24</v>
      </c>
      <c r="B3" s="107">
        <v>2020</v>
      </c>
    </row>
    <row r="4" spans="1:54" s="107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7" customFormat="1" ht="15.75" thickBot="1">
      <c r="A5" s="35" t="s">
        <v>89</v>
      </c>
      <c r="B5" s="57"/>
      <c r="C5" s="55"/>
      <c r="D5" s="55"/>
      <c r="E5" s="55">
        <f>C5-D5</f>
        <v>0</v>
      </c>
      <c r="F5" s="88" t="str">
        <f>IFERROR(E5/C5,"")</f>
        <v/>
      </c>
    </row>
    <row r="6" spans="1:54" s="107" customFormat="1" ht="15.75" thickBot="1">
      <c r="A6" s="39" t="s">
        <v>46</v>
      </c>
      <c r="B6" s="52"/>
      <c r="C6" s="53">
        <f>SUM(C5:C5)</f>
        <v>0</v>
      </c>
      <c r="D6" s="53">
        <f>SUM(D5:D5)</f>
        <v>0</v>
      </c>
      <c r="E6" s="53">
        <f>C6-D6</f>
        <v>0</v>
      </c>
      <c r="F6" s="100">
        <v>0.25</v>
      </c>
    </row>
    <row r="7" spans="1:54" s="107" customFormat="1">
      <c r="A7" s="111"/>
      <c r="B7" s="112"/>
      <c r="C7" s="112"/>
      <c r="D7" s="112"/>
      <c r="E7" s="112"/>
      <c r="F7" s="113"/>
      <c r="G7" s="114"/>
    </row>
    <row r="8" spans="1:54" s="107" customFormat="1" ht="15.75" thickBot="1">
      <c r="A8" s="107" t="s">
        <v>24</v>
      </c>
      <c r="B8" s="107">
        <v>2018</v>
      </c>
    </row>
    <row r="9" spans="1:54" s="107" customFormat="1" ht="15.75" thickBot="1">
      <c r="A9" s="23" t="s">
        <v>31</v>
      </c>
      <c r="B9" s="24" t="s">
        <v>55</v>
      </c>
      <c r="C9" s="25" t="s">
        <v>32</v>
      </c>
      <c r="D9" s="25" t="s">
        <v>33</v>
      </c>
      <c r="E9" s="26" t="s">
        <v>34</v>
      </c>
      <c r="F9" s="26" t="s">
        <v>35</v>
      </c>
    </row>
    <row r="10" spans="1:54" s="107" customFormat="1" ht="15.75" thickBot="1">
      <c r="A10" s="35" t="s">
        <v>89</v>
      </c>
      <c r="B10" s="57"/>
      <c r="C10" s="55"/>
      <c r="D10" s="55"/>
      <c r="E10" s="55">
        <f>C10-D10</f>
        <v>0</v>
      </c>
      <c r="F10" s="88" t="str">
        <f>IFERROR(E10/C10,"")</f>
        <v/>
      </c>
    </row>
    <row r="11" spans="1:54" s="107" customFormat="1" ht="15.75" thickBot="1">
      <c r="A11" s="39" t="s">
        <v>46</v>
      </c>
      <c r="B11" s="52"/>
      <c r="C11" s="53">
        <f>SUM(C10:C10)</f>
        <v>0</v>
      </c>
      <c r="D11" s="53">
        <f>SUM(D10:D10)</f>
        <v>0</v>
      </c>
      <c r="E11" s="53">
        <f>C11-D11</f>
        <v>0</v>
      </c>
      <c r="F11" s="100">
        <v>0.25</v>
      </c>
    </row>
    <row r="12" spans="1:54" s="107" customFormat="1"/>
    <row r="13" spans="1:54" ht="15.75" thickBot="1">
      <c r="A13" s="21" t="s">
        <v>24</v>
      </c>
      <c r="B13" s="21">
        <v>2016</v>
      </c>
    </row>
    <row r="14" spans="1:54" ht="15.75" thickBot="1">
      <c r="A14" s="23" t="s">
        <v>31</v>
      </c>
      <c r="B14" s="24" t="s">
        <v>55</v>
      </c>
      <c r="C14" s="25" t="s">
        <v>32</v>
      </c>
      <c r="D14" s="25" t="s">
        <v>33</v>
      </c>
      <c r="E14" s="26" t="s">
        <v>34</v>
      </c>
      <c r="F14" s="26" t="s">
        <v>35</v>
      </c>
    </row>
    <row r="15" spans="1:54" ht="15.75" thickBot="1">
      <c r="A15" s="35" t="s">
        <v>89</v>
      </c>
      <c r="B15" s="57"/>
      <c r="C15" s="55"/>
      <c r="D15" s="55"/>
      <c r="E15" s="55">
        <f>C15-D15</f>
        <v>0</v>
      </c>
      <c r="F15" s="88" t="str">
        <f>IFERROR(E15/C15,"")</f>
        <v/>
      </c>
    </row>
    <row r="16" spans="1:54" ht="15.75" thickBot="1">
      <c r="A16" s="39" t="s">
        <v>46</v>
      </c>
      <c r="B16" s="52"/>
      <c r="C16" s="53">
        <f>SUM(C15:C15)</f>
        <v>0</v>
      </c>
      <c r="D16" s="53">
        <f>SUM(D15:D15)</f>
        <v>0</v>
      </c>
      <c r="E16" s="53">
        <f>C16-D16</f>
        <v>0</v>
      </c>
      <c r="F16" s="100">
        <v>0.25</v>
      </c>
    </row>
    <row r="19" spans="1:5" ht="15.75" thickBot="1">
      <c r="A19" s="21" t="s">
        <v>24</v>
      </c>
      <c r="C19" s="21">
        <v>2010</v>
      </c>
    </row>
    <row r="20" spans="1:5" ht="15.75" thickBot="1">
      <c r="A20" s="23" t="s">
        <v>31</v>
      </c>
      <c r="B20" s="24" t="s">
        <v>32</v>
      </c>
      <c r="C20" s="25" t="s">
        <v>33</v>
      </c>
      <c r="D20" s="25" t="s">
        <v>34</v>
      </c>
      <c r="E20" s="26" t="s">
        <v>35</v>
      </c>
    </row>
    <row r="21" spans="1:5" ht="15.75" thickBot="1">
      <c r="A21" s="67" t="s">
        <v>89</v>
      </c>
      <c r="B21" s="68"/>
      <c r="C21" s="69"/>
      <c r="D21" s="69"/>
      <c r="E21" s="88" t="str">
        <f>IFERROR(D21/B21,"")</f>
        <v/>
      </c>
    </row>
    <row r="22" spans="1:5" ht="15.75" thickBot="1">
      <c r="A22" s="39" t="s">
        <v>46</v>
      </c>
      <c r="B22" s="52">
        <f>SUM(B21:B21)</f>
        <v>0</v>
      </c>
      <c r="C22" s="53">
        <f>SUM(C21:C21)</f>
        <v>0</v>
      </c>
      <c r="D22" s="53">
        <f>SUM(D21:D21)</f>
        <v>0</v>
      </c>
      <c r="E22" s="100">
        <v>0.25</v>
      </c>
    </row>
    <row r="54" s="4" customForma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F46F-6B88-4891-AE35-0CC21A00E85B}">
  <dimension ref="A1:BB94"/>
  <sheetViews>
    <sheetView workbookViewId="0">
      <selection activeCell="F16" sqref="F16"/>
    </sheetView>
  </sheetViews>
  <sheetFormatPr defaultColWidth="9.140625" defaultRowHeight="15"/>
  <cols>
    <col min="1" max="1" width="24.28515625" style="21" bestFit="1" customWidth="1"/>
    <col min="2" max="2" width="19.28515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26</v>
      </c>
      <c r="B3" s="107">
        <v>2020</v>
      </c>
    </row>
    <row r="4" spans="1:54" s="107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7" customFormat="1">
      <c r="A5" s="27" t="s">
        <v>90</v>
      </c>
      <c r="B5" s="65" t="s">
        <v>57</v>
      </c>
      <c r="C5" s="29">
        <v>10711</v>
      </c>
      <c r="D5" s="29">
        <v>9077.2999999999993</v>
      </c>
      <c r="E5" s="29">
        <f t="shared" ref="E5:E16" si="0">C5-D5</f>
        <v>1633.7000000000007</v>
      </c>
      <c r="F5" s="51">
        <f t="shared" ref="F5:F16" si="1">E5/C5</f>
        <v>0.15252544113528155</v>
      </c>
    </row>
    <row r="6" spans="1:54" s="107" customFormat="1">
      <c r="A6" s="31" t="s">
        <v>91</v>
      </c>
      <c r="B6" s="32" t="s">
        <v>190</v>
      </c>
      <c r="C6" s="33">
        <v>20960</v>
      </c>
      <c r="D6" s="33">
        <v>17089</v>
      </c>
      <c r="E6" s="33">
        <f t="shared" si="0"/>
        <v>3871</v>
      </c>
      <c r="F6" s="34">
        <f t="shared" si="1"/>
        <v>0.18468511450381681</v>
      </c>
    </row>
    <row r="7" spans="1:54" s="107" customFormat="1">
      <c r="A7" s="31" t="s">
        <v>92</v>
      </c>
      <c r="B7" s="66" t="s">
        <v>196</v>
      </c>
      <c r="C7" s="33">
        <v>24249.5</v>
      </c>
      <c r="D7" s="33">
        <v>19292.5</v>
      </c>
      <c r="E7" s="33">
        <f t="shared" si="0"/>
        <v>4957</v>
      </c>
      <c r="F7" s="34">
        <f t="shared" si="1"/>
        <v>0.20441658590898781</v>
      </c>
    </row>
    <row r="8" spans="1:54" s="107" customFormat="1">
      <c r="A8" s="31" t="s">
        <v>93</v>
      </c>
      <c r="B8" s="66" t="s">
        <v>59</v>
      </c>
      <c r="C8" s="33">
        <v>4585</v>
      </c>
      <c r="D8" s="33">
        <v>2769</v>
      </c>
      <c r="E8" s="33">
        <f t="shared" si="0"/>
        <v>1816</v>
      </c>
      <c r="F8" s="34">
        <f t="shared" si="1"/>
        <v>0.3960741548527808</v>
      </c>
    </row>
    <row r="9" spans="1:54" s="107" customFormat="1">
      <c r="A9" s="31" t="s">
        <v>94</v>
      </c>
      <c r="B9" s="32" t="s">
        <v>198</v>
      </c>
      <c r="C9" s="33">
        <v>67210</v>
      </c>
      <c r="D9" s="33">
        <v>54335</v>
      </c>
      <c r="E9" s="33">
        <f t="shared" si="0"/>
        <v>12875</v>
      </c>
      <c r="F9" s="34">
        <f t="shared" si="1"/>
        <v>0.19156375539354262</v>
      </c>
    </row>
    <row r="10" spans="1:54" s="107" customFormat="1">
      <c r="A10" s="31" t="s">
        <v>95</v>
      </c>
      <c r="B10" s="32" t="s">
        <v>198</v>
      </c>
      <c r="C10" s="33">
        <v>63010</v>
      </c>
      <c r="D10" s="33">
        <v>49483</v>
      </c>
      <c r="E10" s="33">
        <f t="shared" si="0"/>
        <v>13527</v>
      </c>
      <c r="F10" s="34">
        <f t="shared" si="1"/>
        <v>0.21468020949055705</v>
      </c>
    </row>
    <row r="11" spans="1:54" s="107" customFormat="1">
      <c r="A11" s="31" t="s">
        <v>96</v>
      </c>
      <c r="B11" s="32" t="s">
        <v>191</v>
      </c>
      <c r="C11" s="33">
        <v>39153</v>
      </c>
      <c r="D11" s="33">
        <v>28463</v>
      </c>
      <c r="E11" s="33">
        <f t="shared" si="0"/>
        <v>10690</v>
      </c>
      <c r="F11" s="34">
        <f t="shared" si="1"/>
        <v>0.27303144075805175</v>
      </c>
    </row>
    <row r="12" spans="1:54" s="107" customFormat="1">
      <c r="A12" s="115" t="s">
        <v>97</v>
      </c>
      <c r="B12" s="114" t="s">
        <v>199</v>
      </c>
      <c r="C12" s="116">
        <v>3689</v>
      </c>
      <c r="D12" s="116">
        <v>2556</v>
      </c>
      <c r="E12" s="116">
        <f t="shared" si="0"/>
        <v>1133</v>
      </c>
      <c r="F12" s="117">
        <f t="shared" si="1"/>
        <v>0.30712930333423694</v>
      </c>
    </row>
    <row r="13" spans="1:54" s="107" customFormat="1">
      <c r="A13" s="31" t="s">
        <v>98</v>
      </c>
      <c r="B13" s="32" t="s">
        <v>58</v>
      </c>
      <c r="C13" s="33">
        <v>5347</v>
      </c>
      <c r="D13" s="33">
        <v>1795</v>
      </c>
      <c r="E13" s="33">
        <f t="shared" si="0"/>
        <v>3552</v>
      </c>
      <c r="F13" s="34">
        <f t="shared" si="1"/>
        <v>0.66429773704881245</v>
      </c>
    </row>
    <row r="14" spans="1:54" s="107" customFormat="1">
      <c r="A14" s="31" t="s">
        <v>99</v>
      </c>
      <c r="B14" s="32" t="s">
        <v>56</v>
      </c>
      <c r="C14" s="33">
        <v>12009</v>
      </c>
      <c r="D14" s="33">
        <v>6414</v>
      </c>
      <c r="E14" s="33">
        <f t="shared" si="0"/>
        <v>5595</v>
      </c>
      <c r="F14" s="34">
        <f t="shared" si="1"/>
        <v>0.46590057456907319</v>
      </c>
    </row>
    <row r="15" spans="1:54" s="107" customFormat="1" ht="15.75" thickBot="1">
      <c r="A15" s="35" t="s">
        <v>100</v>
      </c>
      <c r="B15" s="57" t="s">
        <v>56</v>
      </c>
      <c r="C15" s="55">
        <v>7474</v>
      </c>
      <c r="D15" s="55">
        <v>4589</v>
      </c>
      <c r="E15" s="55">
        <f t="shared" si="0"/>
        <v>2885</v>
      </c>
      <c r="F15" s="56">
        <f t="shared" si="1"/>
        <v>0.386004816697886</v>
      </c>
    </row>
    <row r="16" spans="1:54" s="107" customFormat="1" ht="15.75" thickBot="1">
      <c r="A16" s="39" t="s">
        <v>46</v>
      </c>
      <c r="B16" s="52"/>
      <c r="C16" s="53">
        <f>SUM(C5:C15)</f>
        <v>258397.5</v>
      </c>
      <c r="D16" s="53">
        <f>SUM(D5:D15)</f>
        <v>195862.8</v>
      </c>
      <c r="E16" s="53">
        <f t="shared" si="0"/>
        <v>62534.700000000012</v>
      </c>
      <c r="F16" s="96">
        <f t="shared" si="1"/>
        <v>0.24200969436623812</v>
      </c>
    </row>
    <row r="17" spans="1:6" s="107" customFormat="1"/>
    <row r="18" spans="1:6" s="107" customFormat="1" ht="15.75" thickBot="1">
      <c r="A18" s="107" t="s">
        <v>26</v>
      </c>
      <c r="B18" s="107">
        <v>2018</v>
      </c>
    </row>
    <row r="19" spans="1:6" s="107" customFormat="1" ht="15.75" thickBot="1">
      <c r="A19" s="23" t="s">
        <v>31</v>
      </c>
      <c r="B19" s="24" t="s">
        <v>55</v>
      </c>
      <c r="C19" s="25" t="s">
        <v>32</v>
      </c>
      <c r="D19" s="25" t="s">
        <v>33</v>
      </c>
      <c r="E19" s="26" t="s">
        <v>34</v>
      </c>
      <c r="F19" s="26" t="s">
        <v>35</v>
      </c>
    </row>
    <row r="20" spans="1:6" s="107" customFormat="1">
      <c r="A20" s="27" t="s">
        <v>90</v>
      </c>
      <c r="B20" s="65" t="s">
        <v>57</v>
      </c>
      <c r="C20" s="29">
        <v>10711</v>
      </c>
      <c r="D20" s="29">
        <v>9077.2999999999993</v>
      </c>
      <c r="E20" s="29">
        <f t="shared" ref="E20:E31" si="2">C20-D20</f>
        <v>1633.7000000000007</v>
      </c>
      <c r="F20" s="51">
        <f t="shared" ref="F20:F31" si="3">E20/C20</f>
        <v>0.15252544113528155</v>
      </c>
    </row>
    <row r="21" spans="1:6" s="107" customFormat="1">
      <c r="A21" s="31" t="s">
        <v>91</v>
      </c>
      <c r="B21" s="32" t="s">
        <v>190</v>
      </c>
      <c r="C21" s="33">
        <v>20960</v>
      </c>
      <c r="D21" s="33">
        <v>17089</v>
      </c>
      <c r="E21" s="33">
        <f t="shared" si="2"/>
        <v>3871</v>
      </c>
      <c r="F21" s="34">
        <f t="shared" si="3"/>
        <v>0.18468511450381681</v>
      </c>
    </row>
    <row r="22" spans="1:6" s="107" customFormat="1">
      <c r="A22" s="31" t="s">
        <v>92</v>
      </c>
      <c r="B22" s="32" t="s">
        <v>58</v>
      </c>
      <c r="C22" s="33">
        <v>17550</v>
      </c>
      <c r="D22" s="33">
        <v>12250</v>
      </c>
      <c r="E22" s="33">
        <f t="shared" si="2"/>
        <v>5300</v>
      </c>
      <c r="F22" s="34">
        <f t="shared" si="3"/>
        <v>0.30199430199430199</v>
      </c>
    </row>
    <row r="23" spans="1:6" s="107" customFormat="1">
      <c r="A23" s="31" t="s">
        <v>93</v>
      </c>
      <c r="B23" s="66" t="s">
        <v>59</v>
      </c>
      <c r="C23" s="33">
        <v>4585</v>
      </c>
      <c r="D23" s="33">
        <v>2769</v>
      </c>
      <c r="E23" s="33">
        <f t="shared" si="2"/>
        <v>1816</v>
      </c>
      <c r="F23" s="34">
        <f t="shared" si="3"/>
        <v>0.3960741548527808</v>
      </c>
    </row>
    <row r="24" spans="1:6" s="107" customFormat="1">
      <c r="A24" s="31" t="s">
        <v>94</v>
      </c>
      <c r="B24" s="32" t="s">
        <v>176</v>
      </c>
      <c r="C24" s="33">
        <v>68400</v>
      </c>
      <c r="D24" s="33">
        <v>53938</v>
      </c>
      <c r="E24" s="33">
        <f t="shared" si="2"/>
        <v>14462</v>
      </c>
      <c r="F24" s="34">
        <f t="shared" si="3"/>
        <v>0.21143274853801169</v>
      </c>
    </row>
    <row r="25" spans="1:6" s="107" customFormat="1">
      <c r="A25" s="31" t="s">
        <v>95</v>
      </c>
      <c r="B25" s="32" t="s">
        <v>176</v>
      </c>
      <c r="C25" s="33">
        <v>55693</v>
      </c>
      <c r="D25" s="33">
        <v>46278</v>
      </c>
      <c r="E25" s="33">
        <f t="shared" si="2"/>
        <v>9415</v>
      </c>
      <c r="F25" s="34">
        <f t="shared" si="3"/>
        <v>0.16905176593108648</v>
      </c>
    </row>
    <row r="26" spans="1:6" s="107" customFormat="1">
      <c r="A26" s="31" t="s">
        <v>96</v>
      </c>
      <c r="B26" s="32" t="s">
        <v>191</v>
      </c>
      <c r="C26" s="33">
        <v>39153</v>
      </c>
      <c r="D26" s="33">
        <v>28463</v>
      </c>
      <c r="E26" s="33">
        <f t="shared" si="2"/>
        <v>10690</v>
      </c>
      <c r="F26" s="34">
        <f t="shared" si="3"/>
        <v>0.27303144075805175</v>
      </c>
    </row>
    <row r="27" spans="1:6" s="107" customFormat="1">
      <c r="A27" s="31" t="s">
        <v>97</v>
      </c>
      <c r="B27" s="107" t="s">
        <v>58</v>
      </c>
      <c r="C27" s="33">
        <v>4302</v>
      </c>
      <c r="D27" s="33">
        <v>2643</v>
      </c>
      <c r="E27" s="33">
        <f t="shared" si="2"/>
        <v>1659</v>
      </c>
      <c r="F27" s="34">
        <f t="shared" si="3"/>
        <v>0.38563458856345884</v>
      </c>
    </row>
    <row r="28" spans="1:6" s="107" customFormat="1">
      <c r="A28" s="31" t="s">
        <v>98</v>
      </c>
      <c r="B28" s="32" t="s">
        <v>58</v>
      </c>
      <c r="C28" s="33">
        <v>5347</v>
      </c>
      <c r="D28" s="33">
        <v>1795</v>
      </c>
      <c r="E28" s="33">
        <f t="shared" si="2"/>
        <v>3552</v>
      </c>
      <c r="F28" s="34">
        <f t="shared" si="3"/>
        <v>0.66429773704881245</v>
      </c>
    </row>
    <row r="29" spans="1:6" s="107" customFormat="1">
      <c r="A29" s="31" t="s">
        <v>99</v>
      </c>
      <c r="B29" s="32" t="s">
        <v>56</v>
      </c>
      <c r="C29" s="33">
        <v>12009</v>
      </c>
      <c r="D29" s="33">
        <v>6414</v>
      </c>
      <c r="E29" s="33">
        <f t="shared" si="2"/>
        <v>5595</v>
      </c>
      <c r="F29" s="34">
        <f t="shared" si="3"/>
        <v>0.46590057456907319</v>
      </c>
    </row>
    <row r="30" spans="1:6" s="107" customFormat="1" ht="15.75" thickBot="1">
      <c r="A30" s="35" t="s">
        <v>100</v>
      </c>
      <c r="B30" s="57" t="s">
        <v>56</v>
      </c>
      <c r="C30" s="55">
        <v>7474</v>
      </c>
      <c r="D30" s="55">
        <v>4589</v>
      </c>
      <c r="E30" s="55">
        <f t="shared" si="2"/>
        <v>2885</v>
      </c>
      <c r="F30" s="56">
        <f t="shared" si="3"/>
        <v>0.386004816697886</v>
      </c>
    </row>
    <row r="31" spans="1:6" s="107" customFormat="1" ht="15.75" thickBot="1">
      <c r="A31" s="39" t="s">
        <v>46</v>
      </c>
      <c r="B31" s="52"/>
      <c r="C31" s="53">
        <f>SUM(C20:C30)</f>
        <v>246184</v>
      </c>
      <c r="D31" s="53">
        <f>SUM(D20:D30)</f>
        <v>185305.3</v>
      </c>
      <c r="E31" s="53">
        <f t="shared" si="2"/>
        <v>60878.700000000012</v>
      </c>
      <c r="F31" s="100">
        <f t="shared" si="3"/>
        <v>0.24728942579534011</v>
      </c>
    </row>
    <row r="32" spans="1:6" s="107" customFormat="1"/>
    <row r="33" spans="1:6" ht="15.75" thickBot="1">
      <c r="A33" s="21" t="s">
        <v>26</v>
      </c>
      <c r="B33" s="21">
        <v>2016</v>
      </c>
    </row>
    <row r="34" spans="1:6" ht="15.75" thickBot="1">
      <c r="A34" s="23" t="s">
        <v>31</v>
      </c>
      <c r="B34" s="24" t="s">
        <v>55</v>
      </c>
      <c r="C34" s="25" t="s">
        <v>32</v>
      </c>
      <c r="D34" s="25" t="s">
        <v>33</v>
      </c>
      <c r="E34" s="26" t="s">
        <v>34</v>
      </c>
      <c r="F34" s="26" t="s">
        <v>35</v>
      </c>
    </row>
    <row r="35" spans="1:6">
      <c r="A35" s="27" t="s">
        <v>90</v>
      </c>
      <c r="B35" s="65" t="s">
        <v>57</v>
      </c>
      <c r="C35" s="29">
        <v>10711</v>
      </c>
      <c r="D35" s="29">
        <v>9077.2999999999993</v>
      </c>
      <c r="E35" s="29">
        <f t="shared" ref="E35:E46" si="4">C35-D35</f>
        <v>1633.7000000000007</v>
      </c>
      <c r="F35" s="51">
        <f t="shared" ref="F35:F46" si="5">E35/C35</f>
        <v>0.15252544113528155</v>
      </c>
    </row>
    <row r="36" spans="1:6">
      <c r="A36" s="31" t="s">
        <v>91</v>
      </c>
      <c r="B36" s="66" t="s">
        <v>58</v>
      </c>
      <c r="C36" s="22">
        <v>20960</v>
      </c>
      <c r="D36" s="33">
        <v>14834</v>
      </c>
      <c r="E36" s="33">
        <f t="shared" si="4"/>
        <v>6126</v>
      </c>
      <c r="F36" s="34">
        <f t="shared" si="5"/>
        <v>0.29227099236641224</v>
      </c>
    </row>
    <row r="37" spans="1:6">
      <c r="A37" s="31" t="s">
        <v>92</v>
      </c>
      <c r="B37" s="66" t="s">
        <v>58</v>
      </c>
      <c r="C37" s="33">
        <v>17550</v>
      </c>
      <c r="D37" s="33">
        <v>12250</v>
      </c>
      <c r="E37" s="33">
        <f t="shared" si="4"/>
        <v>5300</v>
      </c>
      <c r="F37" s="34">
        <f t="shared" si="5"/>
        <v>0.30199430199430199</v>
      </c>
    </row>
    <row r="38" spans="1:6">
      <c r="A38" s="31" t="s">
        <v>93</v>
      </c>
      <c r="B38" s="66" t="s">
        <v>59</v>
      </c>
      <c r="C38" s="33">
        <v>4585</v>
      </c>
      <c r="D38" s="33">
        <v>2769</v>
      </c>
      <c r="E38" s="33">
        <f t="shared" si="4"/>
        <v>1816</v>
      </c>
      <c r="F38" s="34">
        <f t="shared" si="5"/>
        <v>0.3960741548527808</v>
      </c>
    </row>
    <row r="39" spans="1:6">
      <c r="A39" s="31" t="s">
        <v>94</v>
      </c>
      <c r="B39" s="32" t="s">
        <v>56</v>
      </c>
      <c r="C39" s="33">
        <v>65712</v>
      </c>
      <c r="D39" s="33">
        <v>52299</v>
      </c>
      <c r="E39" s="33">
        <f t="shared" si="4"/>
        <v>13413</v>
      </c>
      <c r="F39" s="34">
        <f t="shared" si="5"/>
        <v>0.20411796932067203</v>
      </c>
    </row>
    <row r="40" spans="1:6">
      <c r="A40" s="31" t="s">
        <v>95</v>
      </c>
      <c r="B40" s="32" t="s">
        <v>56</v>
      </c>
      <c r="C40" s="33">
        <v>53816</v>
      </c>
      <c r="D40" s="33">
        <v>43242</v>
      </c>
      <c r="E40" s="33">
        <f t="shared" si="4"/>
        <v>10574</v>
      </c>
      <c r="F40" s="34">
        <f t="shared" si="5"/>
        <v>0.19648431693176752</v>
      </c>
    </row>
    <row r="41" spans="1:6">
      <c r="A41" s="31" t="s">
        <v>96</v>
      </c>
      <c r="B41" s="32" t="s">
        <v>58</v>
      </c>
      <c r="C41" s="33">
        <v>35211</v>
      </c>
      <c r="D41" s="33">
        <v>26299</v>
      </c>
      <c r="E41" s="33">
        <f t="shared" si="4"/>
        <v>8912</v>
      </c>
      <c r="F41" s="34">
        <f t="shared" si="5"/>
        <v>0.25310272358069924</v>
      </c>
    </row>
    <row r="42" spans="1:6">
      <c r="A42" s="31" t="s">
        <v>97</v>
      </c>
      <c r="B42" s="21" t="s">
        <v>58</v>
      </c>
      <c r="C42" s="33">
        <v>4302</v>
      </c>
      <c r="D42" s="33">
        <v>2643</v>
      </c>
      <c r="E42" s="33">
        <f t="shared" si="4"/>
        <v>1659</v>
      </c>
      <c r="F42" s="34">
        <f t="shared" si="5"/>
        <v>0.38563458856345884</v>
      </c>
    </row>
    <row r="43" spans="1:6">
      <c r="A43" s="31" t="s">
        <v>98</v>
      </c>
      <c r="B43" s="32" t="s">
        <v>58</v>
      </c>
      <c r="C43" s="33">
        <v>5347</v>
      </c>
      <c r="D43" s="33">
        <v>1795</v>
      </c>
      <c r="E43" s="33">
        <f t="shared" si="4"/>
        <v>3552</v>
      </c>
      <c r="F43" s="34">
        <f t="shared" si="5"/>
        <v>0.66429773704881245</v>
      </c>
    </row>
    <row r="44" spans="1:6">
      <c r="A44" s="31" t="s">
        <v>99</v>
      </c>
      <c r="B44" s="32" t="s">
        <v>56</v>
      </c>
      <c r="C44" s="33">
        <v>12009</v>
      </c>
      <c r="D44" s="33">
        <v>6414</v>
      </c>
      <c r="E44" s="33">
        <f t="shared" si="4"/>
        <v>5595</v>
      </c>
      <c r="F44" s="34">
        <f t="shared" si="5"/>
        <v>0.46590057456907319</v>
      </c>
    </row>
    <row r="45" spans="1:6" ht="15.75" thickBot="1">
      <c r="A45" s="35" t="s">
        <v>100</v>
      </c>
      <c r="B45" s="57" t="s">
        <v>56</v>
      </c>
      <c r="C45" s="55">
        <v>7474</v>
      </c>
      <c r="D45" s="55">
        <v>4589</v>
      </c>
      <c r="E45" s="55">
        <f t="shared" si="4"/>
        <v>2885</v>
      </c>
      <c r="F45" s="56">
        <f t="shared" si="5"/>
        <v>0.386004816697886</v>
      </c>
    </row>
    <row r="46" spans="1:6" ht="15.75" thickBot="1">
      <c r="A46" s="39" t="s">
        <v>46</v>
      </c>
      <c r="B46" s="52"/>
      <c r="C46" s="53">
        <f>SUM(C35:C45)</f>
        <v>237677</v>
      </c>
      <c r="D46" s="53">
        <f>SUM(D35:D45)</f>
        <v>176211.3</v>
      </c>
      <c r="E46" s="53">
        <f t="shared" si="4"/>
        <v>61465.700000000012</v>
      </c>
      <c r="F46" s="100">
        <f t="shared" si="5"/>
        <v>0.2586102147031476</v>
      </c>
    </row>
    <row r="49" spans="1:6" ht="15.75" thickBot="1">
      <c r="A49" s="21" t="s">
        <v>26</v>
      </c>
      <c r="C49" s="21">
        <v>2010</v>
      </c>
    </row>
    <row r="50" spans="1:6" ht="15.75" thickBot="1">
      <c r="A50" s="23" t="s">
        <v>31</v>
      </c>
      <c r="B50" s="24" t="s">
        <v>32</v>
      </c>
      <c r="C50" s="25" t="s">
        <v>33</v>
      </c>
      <c r="D50" s="25" t="s">
        <v>34</v>
      </c>
      <c r="E50" s="26" t="s">
        <v>35</v>
      </c>
      <c r="F50" s="26" t="s">
        <v>61</v>
      </c>
    </row>
    <row r="51" spans="1:6">
      <c r="A51" s="27" t="s">
        <v>90</v>
      </c>
      <c r="B51" s="59">
        <v>12588</v>
      </c>
      <c r="C51" s="60">
        <v>8810</v>
      </c>
      <c r="D51" s="60">
        <f t="shared" ref="D51:D61" si="6">B51-C51</f>
        <v>3778</v>
      </c>
      <c r="E51" s="30">
        <f t="shared" ref="E51:E61" si="7">D51/B51</f>
        <v>0.30012710517953606</v>
      </c>
      <c r="F51" s="51">
        <v>0.3</v>
      </c>
    </row>
    <row r="52" spans="1:6">
      <c r="A52" s="31" t="s">
        <v>91</v>
      </c>
      <c r="B52" s="61">
        <v>20960</v>
      </c>
      <c r="C52" s="62">
        <v>14834</v>
      </c>
      <c r="D52" s="62">
        <f t="shared" si="6"/>
        <v>6126</v>
      </c>
      <c r="E52" s="34">
        <f t="shared" si="7"/>
        <v>0.29227099236641224</v>
      </c>
      <c r="F52" s="34">
        <v>0.29199999999999998</v>
      </c>
    </row>
    <row r="53" spans="1:6">
      <c r="A53" s="31" t="s">
        <v>92</v>
      </c>
      <c r="B53" s="32">
        <v>17550</v>
      </c>
      <c r="C53" s="33">
        <v>12250</v>
      </c>
      <c r="D53" s="33">
        <f t="shared" si="6"/>
        <v>5300</v>
      </c>
      <c r="E53" s="34">
        <f t="shared" si="7"/>
        <v>0.30199430199430199</v>
      </c>
      <c r="F53" s="34">
        <v>0.30199999999999999</v>
      </c>
    </row>
    <row r="54" spans="1:6">
      <c r="A54" s="31" t="s">
        <v>93</v>
      </c>
      <c r="B54" s="32">
        <v>4179</v>
      </c>
      <c r="C54" s="33">
        <v>2925</v>
      </c>
      <c r="D54" s="33">
        <f t="shared" si="6"/>
        <v>1254</v>
      </c>
      <c r="E54" s="34">
        <f t="shared" si="7"/>
        <v>0.30007178750897345</v>
      </c>
      <c r="F54" s="34">
        <v>0.3</v>
      </c>
    </row>
    <row r="55" spans="1:6">
      <c r="A55" s="31" t="s">
        <v>94</v>
      </c>
      <c r="B55" s="32">
        <v>52544</v>
      </c>
      <c r="C55" s="33">
        <v>38945</v>
      </c>
      <c r="D55" s="33">
        <f t="shared" si="6"/>
        <v>13599</v>
      </c>
      <c r="E55" s="34">
        <f t="shared" si="7"/>
        <v>0.25881166260657734</v>
      </c>
      <c r="F55" s="34">
        <v>0.25900000000000001</v>
      </c>
    </row>
    <row r="56" spans="1:6">
      <c r="A56" s="31" t="s">
        <v>95</v>
      </c>
      <c r="B56" s="32">
        <v>51725</v>
      </c>
      <c r="C56" s="33">
        <v>40095</v>
      </c>
      <c r="D56" s="33">
        <f t="shared" si="6"/>
        <v>11630</v>
      </c>
      <c r="E56" s="34">
        <f t="shared" si="7"/>
        <v>0.22484291928467859</v>
      </c>
      <c r="F56" s="34">
        <v>0.22500000000000001</v>
      </c>
    </row>
    <row r="57" spans="1:6">
      <c r="A57" s="31" t="s">
        <v>96</v>
      </c>
      <c r="B57" s="32">
        <v>35211</v>
      </c>
      <c r="C57" s="33">
        <v>26299</v>
      </c>
      <c r="D57" s="33">
        <f t="shared" si="6"/>
        <v>8912</v>
      </c>
      <c r="E57" s="34">
        <f t="shared" si="7"/>
        <v>0.25310272358069924</v>
      </c>
      <c r="F57" s="34">
        <v>0.253</v>
      </c>
    </row>
    <row r="58" spans="1:6">
      <c r="A58" s="31" t="s">
        <v>97</v>
      </c>
      <c r="B58" s="32">
        <v>4302</v>
      </c>
      <c r="C58" s="33">
        <v>2643</v>
      </c>
      <c r="D58" s="33">
        <f t="shared" si="6"/>
        <v>1659</v>
      </c>
      <c r="E58" s="34">
        <f t="shared" si="7"/>
        <v>0.38563458856345884</v>
      </c>
      <c r="F58" s="34">
        <v>0.38600000000000001</v>
      </c>
    </row>
    <row r="59" spans="1:6">
      <c r="A59" s="31" t="s">
        <v>98</v>
      </c>
      <c r="B59" s="32">
        <v>5347</v>
      </c>
      <c r="C59" s="33">
        <v>1795</v>
      </c>
      <c r="D59" s="33">
        <f t="shared" si="6"/>
        <v>3552</v>
      </c>
      <c r="E59" s="34">
        <f t="shared" si="7"/>
        <v>0.66429773704881245</v>
      </c>
      <c r="F59" s="34">
        <v>0.66400000000000003</v>
      </c>
    </row>
    <row r="60" spans="1:6">
      <c r="A60" s="31" t="s">
        <v>99</v>
      </c>
      <c r="B60" s="32">
        <v>14604</v>
      </c>
      <c r="C60" s="33">
        <v>9108</v>
      </c>
      <c r="D60" s="33">
        <f t="shared" si="6"/>
        <v>5496</v>
      </c>
      <c r="E60" s="34">
        <f t="shared" si="7"/>
        <v>0.37633525061626949</v>
      </c>
      <c r="F60" s="34">
        <v>0.376</v>
      </c>
    </row>
    <row r="61" spans="1:6" ht="15.75" thickBot="1">
      <c r="A61" s="47" t="s">
        <v>100</v>
      </c>
      <c r="B61" s="36">
        <v>7748</v>
      </c>
      <c r="C61" s="37">
        <v>4655</v>
      </c>
      <c r="D61" s="37">
        <f t="shared" si="6"/>
        <v>3093</v>
      </c>
      <c r="E61" s="38">
        <f t="shared" si="7"/>
        <v>0.39919979349509549</v>
      </c>
      <c r="F61" s="34">
        <v>0.39900000000000002</v>
      </c>
    </row>
    <row r="62" spans="1:6" ht="15.75" thickBot="1">
      <c r="A62" s="49" t="s">
        <v>46</v>
      </c>
      <c r="B62" s="40">
        <f>SUM(B51:B61)</f>
        <v>226758</v>
      </c>
      <c r="C62" s="41">
        <f>SUM(C51:C61)</f>
        <v>162359</v>
      </c>
      <c r="D62" s="41">
        <f>SUM(D51:D61)</f>
        <v>64399</v>
      </c>
      <c r="E62" s="97">
        <f>D62/B62</f>
        <v>0.28399880048333465</v>
      </c>
    </row>
    <row r="94" s="4" customFormat="1"/>
  </sheetData>
  <sortState xmlns:xlrd2="http://schemas.microsoft.com/office/spreadsheetml/2017/richdata2" ref="A36:A45">
    <sortCondition ref="A3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FAEA-FA04-4D31-A260-7FEE8B5E636D}">
  <dimension ref="A1:N61"/>
  <sheetViews>
    <sheetView workbookViewId="0">
      <selection activeCell="F8" sqref="F8"/>
    </sheetView>
  </sheetViews>
  <sheetFormatPr defaultColWidth="9.140625" defaultRowHeight="15"/>
  <cols>
    <col min="1" max="1" width="24.5703125" style="21" bestFit="1" customWidth="1"/>
    <col min="2" max="2" width="34.28515625" style="21" bestFit="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4" style="21" customWidth="1"/>
    <col min="8" max="8" width="2" style="114" bestFit="1" customWidth="1"/>
    <col min="9" max="9" width="17.7109375" style="114" bestFit="1" customWidth="1"/>
    <col min="10" max="10" width="17" style="114" bestFit="1" customWidth="1"/>
    <col min="11" max="11" width="13.85546875" style="114" bestFit="1" customWidth="1"/>
    <col min="12" max="12" width="10.5703125" style="114" bestFit="1" customWidth="1"/>
    <col min="13" max="14" width="9.140625" style="114"/>
    <col min="15" max="16384" width="9.140625" style="21"/>
  </cols>
  <sheetData>
    <row r="1" spans="1:14" s="93" customFormat="1" ht="26.25">
      <c r="A1" s="93" t="s">
        <v>216</v>
      </c>
    </row>
    <row r="3" spans="1:14" s="107" customFormat="1" ht="15.75" thickBot="1">
      <c r="A3" s="107" t="s">
        <v>18</v>
      </c>
      <c r="B3" s="107">
        <v>2020</v>
      </c>
      <c r="H3" s="114"/>
      <c r="I3" s="114"/>
      <c r="J3" s="114"/>
      <c r="K3" s="114"/>
      <c r="L3" s="114"/>
      <c r="M3" s="114"/>
      <c r="N3" s="114"/>
    </row>
    <row r="4" spans="1:14" s="107" customFormat="1" ht="15.75" thickBot="1">
      <c r="A4" s="67" t="s">
        <v>31</v>
      </c>
      <c r="B4" s="119" t="s">
        <v>55</v>
      </c>
      <c r="C4" s="120" t="s">
        <v>32</v>
      </c>
      <c r="D4" s="120" t="s">
        <v>33</v>
      </c>
      <c r="E4" s="121" t="s">
        <v>34</v>
      </c>
      <c r="F4" s="122" t="s">
        <v>35</v>
      </c>
      <c r="H4" s="114"/>
      <c r="I4" s="114"/>
      <c r="J4" s="114"/>
      <c r="K4" s="114"/>
      <c r="L4" s="114"/>
      <c r="M4" s="114"/>
      <c r="N4" s="114"/>
    </row>
    <row r="5" spans="1:14" s="107" customFormat="1">
      <c r="A5" s="27" t="s">
        <v>18</v>
      </c>
      <c r="B5" s="123" t="s">
        <v>58</v>
      </c>
      <c r="C5" s="29">
        <v>6441</v>
      </c>
      <c r="D5" s="29">
        <v>4924</v>
      </c>
      <c r="E5" s="77">
        <f>C5-D5</f>
        <v>1517</v>
      </c>
      <c r="F5" s="74">
        <f>E5/C5</f>
        <v>0.23552243440459555</v>
      </c>
      <c r="H5" s="114"/>
      <c r="I5" s="114"/>
      <c r="J5" s="114"/>
      <c r="K5" s="114"/>
      <c r="L5" s="114"/>
      <c r="M5" s="114"/>
      <c r="N5" s="114"/>
    </row>
    <row r="6" spans="1:14" s="107" customFormat="1">
      <c r="A6" s="31" t="s">
        <v>102</v>
      </c>
      <c r="B6" s="66" t="s">
        <v>176</v>
      </c>
      <c r="C6" s="22">
        <v>47426</v>
      </c>
      <c r="D6" s="33">
        <v>38790</v>
      </c>
      <c r="E6" s="78">
        <f>C6-D6</f>
        <v>8636</v>
      </c>
      <c r="F6" s="75">
        <f>E6/C6</f>
        <v>0.18209420992704423</v>
      </c>
      <c r="H6" s="114"/>
      <c r="I6" s="114"/>
      <c r="J6" s="114"/>
      <c r="K6" s="114"/>
      <c r="L6" s="114"/>
      <c r="M6" s="114"/>
      <c r="N6" s="114"/>
    </row>
    <row r="7" spans="1:14" s="107" customFormat="1" ht="15.75" thickBot="1">
      <c r="A7" s="35" t="s">
        <v>104</v>
      </c>
      <c r="B7" s="57" t="s">
        <v>174</v>
      </c>
      <c r="C7" s="55">
        <f>69.172524/3.6*1000</f>
        <v>19214.589999999997</v>
      </c>
      <c r="D7" s="55">
        <v>11629.1</v>
      </c>
      <c r="E7" s="79">
        <f>C7-D7</f>
        <v>7585.4899999999961</v>
      </c>
      <c r="F7" s="76">
        <f>E7/C7</f>
        <v>0.39477761430246483</v>
      </c>
      <c r="H7" s="114"/>
      <c r="I7" s="114"/>
      <c r="J7" s="114"/>
      <c r="K7" s="114"/>
      <c r="L7" s="114"/>
      <c r="M7" s="114"/>
      <c r="N7" s="114"/>
    </row>
    <row r="8" spans="1:14" s="107" customFormat="1" ht="15.75" thickBot="1">
      <c r="A8" s="49" t="s">
        <v>46</v>
      </c>
      <c r="B8" s="40"/>
      <c r="C8" s="41">
        <f>SUM(C5:C7)</f>
        <v>73081.59</v>
      </c>
      <c r="D8" s="41">
        <f>SUM(D5:D7)</f>
        <v>55343.1</v>
      </c>
      <c r="E8" s="41">
        <f>C8-D8</f>
        <v>17738.489999999998</v>
      </c>
      <c r="F8" s="95">
        <f>E8/C8</f>
        <v>0.24272173060274138</v>
      </c>
      <c r="H8" s="114"/>
      <c r="I8" s="114"/>
      <c r="J8" s="114"/>
      <c r="K8" s="114"/>
      <c r="L8" s="114"/>
      <c r="M8" s="114"/>
      <c r="N8" s="114"/>
    </row>
    <row r="9" spans="1:14" s="107" customFormat="1">
      <c r="H9" s="114"/>
      <c r="I9" s="114"/>
      <c r="J9" s="114"/>
      <c r="K9" s="114"/>
      <c r="L9" s="114"/>
      <c r="M9" s="114"/>
      <c r="N9" s="114"/>
    </row>
    <row r="10" spans="1:14" s="107" customFormat="1" ht="15.75" thickBot="1">
      <c r="A10" s="107" t="s">
        <v>18</v>
      </c>
      <c r="B10" s="107">
        <v>2018</v>
      </c>
      <c r="H10" s="114"/>
      <c r="I10" s="114"/>
      <c r="J10" s="114"/>
      <c r="K10" s="114"/>
      <c r="L10" s="114"/>
      <c r="M10" s="114"/>
      <c r="N10" s="114"/>
    </row>
    <row r="11" spans="1:14" s="107" customFormat="1" ht="15.75" thickBot="1">
      <c r="A11" s="23" t="s">
        <v>31</v>
      </c>
      <c r="B11" s="24" t="s">
        <v>55</v>
      </c>
      <c r="C11" s="25" t="s">
        <v>32</v>
      </c>
      <c r="D11" s="25" t="s">
        <v>33</v>
      </c>
      <c r="E11" s="26" t="s">
        <v>34</v>
      </c>
      <c r="F11" s="73" t="s">
        <v>35</v>
      </c>
      <c r="H11" s="114"/>
      <c r="I11" s="114"/>
      <c r="J11" s="114"/>
      <c r="K11" s="114"/>
      <c r="L11" s="114"/>
      <c r="M11" s="114"/>
      <c r="N11" s="114"/>
    </row>
    <row r="12" spans="1:14" s="107" customFormat="1">
      <c r="A12" s="27" t="s">
        <v>18</v>
      </c>
      <c r="B12" s="65" t="s">
        <v>58</v>
      </c>
      <c r="C12" s="29">
        <v>6441</v>
      </c>
      <c r="D12" s="29">
        <v>4924</v>
      </c>
      <c r="E12" s="77">
        <f>C12-D12</f>
        <v>1517</v>
      </c>
      <c r="F12" s="74">
        <f>E12/C12</f>
        <v>0.23552243440459555</v>
      </c>
      <c r="H12" s="114"/>
      <c r="I12" s="114"/>
      <c r="J12" s="114"/>
      <c r="K12" s="114"/>
      <c r="L12" s="114"/>
      <c r="M12" s="114"/>
      <c r="N12" s="114"/>
    </row>
    <row r="13" spans="1:14" s="107" customFormat="1">
      <c r="A13" s="31" t="s">
        <v>102</v>
      </c>
      <c r="B13" s="66" t="s">
        <v>176</v>
      </c>
      <c r="C13" s="22">
        <v>47426</v>
      </c>
      <c r="D13" s="33">
        <v>38790</v>
      </c>
      <c r="E13" s="78">
        <f>C13-D13</f>
        <v>8636</v>
      </c>
      <c r="F13" s="75">
        <f>E13/C13</f>
        <v>0.18209420992704423</v>
      </c>
      <c r="H13" s="114"/>
      <c r="I13" s="114"/>
      <c r="J13" s="114"/>
      <c r="K13" s="114"/>
      <c r="L13" s="114"/>
      <c r="M13" s="114"/>
      <c r="N13" s="114"/>
    </row>
    <row r="14" spans="1:14" s="107" customFormat="1" ht="15.75" thickBot="1">
      <c r="A14" s="35" t="s">
        <v>104</v>
      </c>
      <c r="B14" s="57" t="s">
        <v>174</v>
      </c>
      <c r="C14" s="55">
        <f>69.172524/3.6*1000</f>
        <v>19214.589999999997</v>
      </c>
      <c r="D14" s="55">
        <v>11629.1</v>
      </c>
      <c r="E14" s="79">
        <f>C14-D14</f>
        <v>7585.4899999999961</v>
      </c>
      <c r="F14" s="76">
        <f>E14/C14</f>
        <v>0.39477761430246483</v>
      </c>
      <c r="H14" s="114"/>
      <c r="I14" s="114"/>
      <c r="J14" s="114"/>
      <c r="K14" s="114"/>
      <c r="L14" s="114"/>
      <c r="M14" s="114"/>
      <c r="N14" s="114"/>
    </row>
    <row r="15" spans="1:14" s="107" customFormat="1" ht="15.75" thickBot="1">
      <c r="A15" s="49" t="s">
        <v>46</v>
      </c>
      <c r="B15" s="40"/>
      <c r="C15" s="41">
        <f>SUM(C12:C14)</f>
        <v>73081.59</v>
      </c>
      <c r="D15" s="41">
        <f>SUM(D12:D14)</f>
        <v>55343.1</v>
      </c>
      <c r="E15" s="41">
        <f>C15-D15</f>
        <v>17738.489999999998</v>
      </c>
      <c r="F15" s="97">
        <f>E15/C15</f>
        <v>0.24272173060274138</v>
      </c>
      <c r="H15" s="114"/>
      <c r="I15" s="114"/>
      <c r="J15" s="114"/>
      <c r="K15" s="114"/>
      <c r="L15" s="114"/>
      <c r="M15" s="114"/>
      <c r="N15" s="114"/>
    </row>
    <row r="16" spans="1:14" s="107" customFormat="1">
      <c r="H16" s="114"/>
      <c r="I16" s="114"/>
      <c r="J16" s="114"/>
      <c r="K16" s="114"/>
      <c r="L16" s="114"/>
      <c r="M16" s="114"/>
      <c r="N16" s="114"/>
    </row>
    <row r="17" spans="1:12" ht="15.75" thickBot="1">
      <c r="A17" s="21" t="s">
        <v>18</v>
      </c>
      <c r="B17" s="21">
        <v>2016</v>
      </c>
    </row>
    <row r="18" spans="1:12" ht="15.75" thickBot="1">
      <c r="A18" s="23" t="s">
        <v>31</v>
      </c>
      <c r="B18" s="24" t="s">
        <v>55</v>
      </c>
      <c r="C18" s="25" t="s">
        <v>32</v>
      </c>
      <c r="D18" s="25" t="s">
        <v>33</v>
      </c>
      <c r="E18" s="26" t="s">
        <v>34</v>
      </c>
      <c r="F18" s="73" t="s">
        <v>35</v>
      </c>
    </row>
    <row r="19" spans="1:12">
      <c r="A19" s="27" t="s">
        <v>18</v>
      </c>
      <c r="B19" s="65" t="s">
        <v>58</v>
      </c>
      <c r="C19" s="29">
        <v>6441</v>
      </c>
      <c r="D19" s="29">
        <v>4924</v>
      </c>
      <c r="E19" s="77">
        <f>C19-D19</f>
        <v>1517</v>
      </c>
      <c r="F19" s="74">
        <f>E19/C19</f>
        <v>0.23552243440459555</v>
      </c>
    </row>
    <row r="20" spans="1:12">
      <c r="A20" s="31" t="s">
        <v>102</v>
      </c>
      <c r="B20" s="66" t="s">
        <v>56</v>
      </c>
      <c r="C20" s="22">
        <v>46424</v>
      </c>
      <c r="D20" s="33">
        <v>36933</v>
      </c>
      <c r="E20" s="78">
        <f>C20-D20</f>
        <v>9491</v>
      </c>
      <c r="F20" s="75">
        <f>E20/C20</f>
        <v>0.2044416681027055</v>
      </c>
    </row>
    <row r="21" spans="1:12" ht="15.75" thickBot="1">
      <c r="A21" s="35" t="s">
        <v>104</v>
      </c>
      <c r="B21" s="57" t="s">
        <v>174</v>
      </c>
      <c r="C21" s="55">
        <f>69.172524/3.6*1000</f>
        <v>19214.589999999997</v>
      </c>
      <c r="D21" s="55">
        <v>11629.1</v>
      </c>
      <c r="E21" s="79">
        <f>C21-D21</f>
        <v>7585.4899999999961</v>
      </c>
      <c r="F21" s="76">
        <f>E21/C21</f>
        <v>0.39477761430246483</v>
      </c>
    </row>
    <row r="22" spans="1:12" ht="15.75" thickBot="1">
      <c r="A22" s="49" t="s">
        <v>46</v>
      </c>
      <c r="B22" s="40"/>
      <c r="C22" s="41">
        <f>SUM(C19:C21)</f>
        <v>72079.59</v>
      </c>
      <c r="D22" s="41">
        <f>SUM(D19:D21)</f>
        <v>53486.1</v>
      </c>
      <c r="E22" s="41">
        <f>C22-D22</f>
        <v>18593.489999999998</v>
      </c>
      <c r="F22" s="97">
        <f>E22/C22</f>
        <v>0.25795776585299662</v>
      </c>
    </row>
    <row r="24" spans="1:12">
      <c r="A24" s="114"/>
      <c r="B24" s="114"/>
      <c r="C24" s="114"/>
      <c r="D24" s="114"/>
      <c r="E24" s="114"/>
      <c r="F24" s="114"/>
      <c r="G24" s="114"/>
    </row>
    <row r="25" spans="1:12" ht="15.75" thickBot="1">
      <c r="A25" s="158" t="s">
        <v>18</v>
      </c>
      <c r="B25" s="114">
        <v>2010</v>
      </c>
      <c r="C25" s="158" t="s">
        <v>101</v>
      </c>
      <c r="D25" s="158"/>
      <c r="E25" s="158"/>
      <c r="F25" s="158"/>
      <c r="G25" s="158"/>
      <c r="H25" s="158"/>
      <c r="I25" s="158"/>
      <c r="J25" s="158"/>
      <c r="K25" s="158"/>
      <c r="L25" s="158"/>
    </row>
    <row r="26" spans="1:12" ht="15.75" thickBot="1">
      <c r="A26" s="160" t="s">
        <v>31</v>
      </c>
      <c r="B26" s="161" t="s">
        <v>32</v>
      </c>
      <c r="C26" s="63" t="s">
        <v>33</v>
      </c>
      <c r="D26" s="162" t="s">
        <v>34</v>
      </c>
      <c r="E26" s="163" t="s">
        <v>35</v>
      </c>
      <c r="F26" s="164" t="s">
        <v>61</v>
      </c>
      <c r="G26" s="158"/>
      <c r="H26" s="158"/>
      <c r="I26" s="158"/>
      <c r="J26" s="158"/>
      <c r="K26" s="158"/>
      <c r="L26" s="158"/>
    </row>
    <row r="27" spans="1:12">
      <c r="A27" s="165" t="s">
        <v>18</v>
      </c>
      <c r="B27" s="166">
        <v>6441</v>
      </c>
      <c r="C27" s="167">
        <v>4924</v>
      </c>
      <c r="D27" s="167">
        <f>B27-C27</f>
        <v>1517</v>
      </c>
      <c r="E27" s="168">
        <f>D27/B27</f>
        <v>0.23552243440459555</v>
      </c>
      <c r="F27" s="169">
        <v>0.23</v>
      </c>
      <c r="G27" s="158"/>
      <c r="H27" s="158"/>
      <c r="I27" s="158"/>
      <c r="J27" s="158"/>
      <c r="K27" s="158"/>
      <c r="L27" s="158"/>
    </row>
    <row r="28" spans="1:12">
      <c r="A28" s="170" t="s">
        <v>102</v>
      </c>
      <c r="B28" s="171">
        <v>54830</v>
      </c>
      <c r="C28" s="71">
        <f>B28*0.785</f>
        <v>43041.55</v>
      </c>
      <c r="D28" s="172">
        <f>B28-C28</f>
        <v>11788.449999999997</v>
      </c>
      <c r="E28" s="173">
        <f>D28/B28</f>
        <v>0.21499999999999994</v>
      </c>
      <c r="F28" s="174">
        <v>0.215</v>
      </c>
      <c r="G28" s="175"/>
      <c r="H28" s="158" t="s">
        <v>86</v>
      </c>
      <c r="I28" s="159" t="s">
        <v>103</v>
      </c>
      <c r="J28" s="158"/>
      <c r="K28" s="158"/>
      <c r="L28" s="158"/>
    </row>
    <row r="29" spans="1:12" ht="15.75" thickBot="1">
      <c r="A29" s="176" t="s">
        <v>104</v>
      </c>
      <c r="B29" s="177">
        <v>19946</v>
      </c>
      <c r="C29" s="178">
        <v>12792</v>
      </c>
      <c r="D29" s="178">
        <f>B29-C29</f>
        <v>7154</v>
      </c>
      <c r="E29" s="168">
        <f>D29/B29</f>
        <v>0.3586684046926702</v>
      </c>
      <c r="F29" s="179">
        <v>0.35899999999999999</v>
      </c>
      <c r="G29" s="158"/>
      <c r="H29" s="158"/>
      <c r="I29" s="158"/>
      <c r="J29" s="158"/>
      <c r="K29" s="158"/>
      <c r="L29" s="158"/>
    </row>
    <row r="30" spans="1:12" ht="15.75" thickBot="1">
      <c r="A30" s="180" t="s">
        <v>46</v>
      </c>
      <c r="B30" s="181">
        <f>SUM(B27:B29)</f>
        <v>81217</v>
      </c>
      <c r="C30" s="182">
        <f>SUM(C27:C29)</f>
        <v>60757.55</v>
      </c>
      <c r="D30" s="182">
        <f>SUM(D27:D29)</f>
        <v>20459.449999999997</v>
      </c>
      <c r="E30" s="108">
        <f>D30/B30</f>
        <v>0.25191092997771397</v>
      </c>
      <c r="F30" s="158"/>
      <c r="G30" s="158"/>
      <c r="H30" s="158"/>
      <c r="I30" s="158"/>
      <c r="J30" s="158"/>
      <c r="K30" s="158"/>
      <c r="L30" s="158"/>
    </row>
    <row r="31" spans="1:12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</row>
    <row r="32" spans="1:12">
      <c r="A32" s="114"/>
      <c r="B32" s="114"/>
      <c r="C32" s="114"/>
      <c r="D32" s="114"/>
      <c r="E32" s="114"/>
      <c r="F32" s="114"/>
      <c r="G32" s="114"/>
    </row>
    <row r="33" spans="7:7">
      <c r="G33" s="114"/>
    </row>
    <row r="34" spans="7:7">
      <c r="G34" s="114"/>
    </row>
    <row r="35" spans="7:7">
      <c r="G35" s="114"/>
    </row>
    <row r="61" spans="8:14" s="4" customFormat="1">
      <c r="H61" s="114"/>
      <c r="I61" s="114"/>
      <c r="J61" s="114"/>
      <c r="K61" s="114"/>
      <c r="L61" s="114"/>
      <c r="M61" s="114"/>
      <c r="N61" s="1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C493-9124-427A-8BEF-14DEB72A5CF0}">
  <dimension ref="A1:BB95"/>
  <sheetViews>
    <sheetView workbookViewId="0">
      <selection activeCell="F14" sqref="F14"/>
    </sheetView>
  </sheetViews>
  <sheetFormatPr defaultColWidth="9.140625" defaultRowHeight="15"/>
  <cols>
    <col min="1" max="1" width="24.5703125" style="21" bestFit="1" customWidth="1"/>
    <col min="2" max="2" width="22.5703125" style="21" customWidth="1"/>
    <col min="3" max="3" width="17.7109375" style="21" bestFit="1" customWidth="1"/>
    <col min="4" max="4" width="17" style="21" bestFit="1" customWidth="1"/>
    <col min="5" max="5" width="13.85546875" style="21" bestFit="1" customWidth="1"/>
    <col min="6" max="6" width="13.140625" style="21" bestFit="1" customWidth="1"/>
    <col min="7" max="7" width="18.28515625" style="21" bestFit="1" customWidth="1"/>
    <col min="8" max="8" width="19.28515625" style="21" bestFit="1" customWidth="1"/>
    <col min="9" max="9" width="17.7109375" style="21" bestFit="1" customWidth="1"/>
    <col min="10" max="10" width="17" style="21" bestFit="1" customWidth="1"/>
    <col min="11" max="11" width="13.85546875" style="21" bestFit="1" customWidth="1"/>
    <col min="12" max="12" width="10.5703125" style="21" bestFit="1" customWidth="1"/>
    <col min="13" max="16384" width="9.140625" style="21"/>
  </cols>
  <sheetData>
    <row r="1" spans="1:54" ht="26.25">
      <c r="A1" s="93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3" spans="1:54" s="107" customFormat="1" ht="15.75" thickBot="1">
      <c r="A3" s="107" t="s">
        <v>25</v>
      </c>
      <c r="B3" s="107">
        <v>2020</v>
      </c>
    </row>
    <row r="4" spans="1:54" s="107" customFormat="1" ht="15.75" thickBot="1">
      <c r="A4" s="23" t="s">
        <v>31</v>
      </c>
      <c r="B4" s="24" t="s">
        <v>55</v>
      </c>
      <c r="C4" s="25" t="s">
        <v>32</v>
      </c>
      <c r="D4" s="25" t="s">
        <v>33</v>
      </c>
      <c r="E4" s="26" t="s">
        <v>34</v>
      </c>
      <c r="F4" s="26" t="s">
        <v>35</v>
      </c>
    </row>
    <row r="5" spans="1:54" s="107" customFormat="1">
      <c r="A5" s="27" t="s">
        <v>109</v>
      </c>
      <c r="B5" s="65" t="s">
        <v>180</v>
      </c>
      <c r="C5" s="29">
        <v>9247</v>
      </c>
      <c r="D5" s="29">
        <v>6962</v>
      </c>
      <c r="E5" s="29">
        <f t="shared" ref="E5:E14" si="0">C5-D5</f>
        <v>2285</v>
      </c>
      <c r="F5" s="51">
        <f>IFERROR(E5/C5,"")</f>
        <v>0.24710716989293824</v>
      </c>
    </row>
    <row r="6" spans="1:54" s="107" customFormat="1">
      <c r="A6" s="31" t="s">
        <v>123</v>
      </c>
      <c r="B6" s="66" t="s">
        <v>181</v>
      </c>
      <c r="C6" s="118"/>
      <c r="D6" s="33"/>
      <c r="E6" s="62">
        <f t="shared" si="0"/>
        <v>0</v>
      </c>
      <c r="F6" s="34" t="str">
        <f t="shared" ref="F6:F7" si="1">IFERROR(E6/C6,"")</f>
        <v/>
      </c>
    </row>
    <row r="7" spans="1:54" s="107" customFormat="1">
      <c r="A7" s="31" t="s">
        <v>126</v>
      </c>
      <c r="B7" s="66" t="s">
        <v>196</v>
      </c>
      <c r="C7" s="33">
        <f>133743*'Brændselsfordeling Suldrup-Aars'!D11</f>
        <v>20008.308050293926</v>
      </c>
      <c r="D7" s="33">
        <f>'Brændselsfordeling Suldrup-Aars'!D5</f>
        <v>16491</v>
      </c>
      <c r="E7" s="33">
        <f t="shared" si="0"/>
        <v>3517.3080502939265</v>
      </c>
      <c r="F7" s="34">
        <f t="shared" si="1"/>
        <v>0.17579237791884439</v>
      </c>
    </row>
    <row r="8" spans="1:54" s="107" customFormat="1">
      <c r="A8" s="31" t="s">
        <v>127</v>
      </c>
      <c r="B8" s="66" t="s">
        <v>235</v>
      </c>
      <c r="C8" s="29">
        <f>'Brændselsfordeling Nørager'!D8*'Brændselsfordeling Nørager'!D13</f>
        <v>13196</v>
      </c>
      <c r="D8" s="29">
        <v>7762</v>
      </c>
      <c r="E8" s="62">
        <f t="shared" si="0"/>
        <v>5434</v>
      </c>
      <c r="F8" s="34">
        <v>0.25</v>
      </c>
    </row>
    <row r="9" spans="1:54" s="107" customFormat="1">
      <c r="A9" s="31" t="s">
        <v>124</v>
      </c>
      <c r="B9" s="32" t="s">
        <v>129</v>
      </c>
      <c r="C9" s="33">
        <v>3759.2999999999993</v>
      </c>
      <c r="D9" s="33">
        <v>2344.3000000000002</v>
      </c>
      <c r="E9" s="33">
        <f t="shared" si="0"/>
        <v>1414.9999999999991</v>
      </c>
      <c r="F9" s="34">
        <f t="shared" ref="F9:F14" si="2">IFERROR(E9/C9,"")</f>
        <v>0.37639986167637574</v>
      </c>
    </row>
    <row r="10" spans="1:54" s="107" customFormat="1">
      <c r="A10" s="31" t="s">
        <v>117</v>
      </c>
      <c r="B10" s="66" t="s">
        <v>198</v>
      </c>
      <c r="C10" s="33">
        <v>42189</v>
      </c>
      <c r="D10" s="33">
        <v>30653</v>
      </c>
      <c r="E10" s="33">
        <f t="shared" si="0"/>
        <v>11536</v>
      </c>
      <c r="F10" s="34">
        <f t="shared" si="2"/>
        <v>0.27343620374979261</v>
      </c>
    </row>
    <row r="11" spans="1:54" s="107" customFormat="1">
      <c r="A11" s="31" t="s">
        <v>111</v>
      </c>
      <c r="B11" s="66" t="s">
        <v>198</v>
      </c>
      <c r="C11" s="33">
        <v>67427</v>
      </c>
      <c r="D11" s="33">
        <v>52297</v>
      </c>
      <c r="E11" s="33">
        <f t="shared" si="0"/>
        <v>15130</v>
      </c>
      <c r="F11" s="34">
        <f t="shared" si="2"/>
        <v>0.22439082266747742</v>
      </c>
    </row>
    <row r="12" spans="1:54" s="107" customFormat="1">
      <c r="A12" s="31" t="s">
        <v>125</v>
      </c>
      <c r="B12" s="66" t="s">
        <v>56</v>
      </c>
      <c r="C12" s="33">
        <v>17813</v>
      </c>
      <c r="D12" s="33">
        <v>13369</v>
      </c>
      <c r="E12" s="33">
        <f t="shared" si="0"/>
        <v>4444</v>
      </c>
      <c r="F12" s="34">
        <f t="shared" si="2"/>
        <v>0.24948071633076965</v>
      </c>
    </row>
    <row r="13" spans="1:54" s="107" customFormat="1" ht="15.75" thickBot="1">
      <c r="A13" s="35" t="s">
        <v>112</v>
      </c>
      <c r="B13" s="57" t="s">
        <v>176</v>
      </c>
      <c r="C13" s="55">
        <v>9755</v>
      </c>
      <c r="D13" s="55">
        <v>6878</v>
      </c>
      <c r="E13" s="55">
        <f t="shared" si="0"/>
        <v>2877</v>
      </c>
      <c r="F13" s="56">
        <f t="shared" si="2"/>
        <v>0.29492567913890311</v>
      </c>
    </row>
    <row r="14" spans="1:54" s="107" customFormat="1" ht="15.75" thickBot="1">
      <c r="A14" s="39" t="s">
        <v>46</v>
      </c>
      <c r="B14" s="52"/>
      <c r="C14" s="53">
        <f>SUM(C5:C13)</f>
        <v>183394.60805029393</v>
      </c>
      <c r="D14" s="53">
        <f>SUM(D5:D13)</f>
        <v>136756.29999999999</v>
      </c>
      <c r="E14" s="53">
        <f t="shared" si="0"/>
        <v>46638.308050293941</v>
      </c>
      <c r="F14" s="96">
        <f t="shared" si="2"/>
        <v>0.25430577565019746</v>
      </c>
    </row>
    <row r="15" spans="1:54" s="107" customFormat="1">
      <c r="A15" s="114" t="s">
        <v>231</v>
      </c>
      <c r="B15" s="114"/>
      <c r="C15" s="114"/>
      <c r="D15" s="114"/>
      <c r="E15" s="114"/>
      <c r="F15" s="114"/>
      <c r="G15" s="114"/>
    </row>
    <row r="16" spans="1:54" s="107" customFormat="1">
      <c r="A16" s="114" t="s">
        <v>229</v>
      </c>
      <c r="B16" s="114"/>
      <c r="C16" s="114"/>
      <c r="D16" s="114"/>
      <c r="E16" s="114"/>
      <c r="F16" s="114"/>
      <c r="G16" s="114"/>
    </row>
    <row r="17" spans="1:9" s="107" customFormat="1">
      <c r="A17" s="114"/>
      <c r="B17" s="114"/>
      <c r="C17" s="114"/>
      <c r="D17" s="114"/>
      <c r="E17" s="114"/>
      <c r="F17" s="114"/>
      <c r="G17" s="114"/>
    </row>
    <row r="18" spans="1:9" s="107" customFormat="1" ht="15.75" thickBot="1">
      <c r="A18" s="107" t="s">
        <v>25</v>
      </c>
      <c r="B18" s="107">
        <v>2018</v>
      </c>
    </row>
    <row r="19" spans="1:9" s="107" customFormat="1" ht="15.75" thickBot="1">
      <c r="A19" s="23" t="s">
        <v>31</v>
      </c>
      <c r="B19" s="24" t="s">
        <v>55</v>
      </c>
      <c r="C19" s="25" t="s">
        <v>32</v>
      </c>
      <c r="D19" s="25" t="s">
        <v>33</v>
      </c>
      <c r="E19" s="26" t="s">
        <v>34</v>
      </c>
      <c r="F19" s="26" t="s">
        <v>35</v>
      </c>
    </row>
    <row r="20" spans="1:9" s="107" customFormat="1">
      <c r="A20" s="27" t="s">
        <v>109</v>
      </c>
      <c r="B20" s="65" t="s">
        <v>180</v>
      </c>
      <c r="C20" s="29">
        <v>9247</v>
      </c>
      <c r="D20" s="29">
        <v>6962</v>
      </c>
      <c r="E20" s="29">
        <f t="shared" ref="E20:E29" si="3">C20-D20</f>
        <v>2285</v>
      </c>
      <c r="F20" s="51">
        <f>IFERROR(E20/C20,"")</f>
        <v>0.24710716989293824</v>
      </c>
    </row>
    <row r="21" spans="1:9" s="107" customFormat="1">
      <c r="A21" s="31" t="s">
        <v>123</v>
      </c>
      <c r="B21" s="66" t="s">
        <v>181</v>
      </c>
      <c r="C21" s="22"/>
      <c r="D21" s="33"/>
      <c r="E21" s="62">
        <f t="shared" si="3"/>
        <v>0</v>
      </c>
      <c r="F21" s="34" t="str">
        <f t="shared" ref="F21:F29" si="4">IFERROR(E21/C21,"")</f>
        <v/>
      </c>
    </row>
    <row r="22" spans="1:9" s="107" customFormat="1">
      <c r="A22" s="31" t="s">
        <v>126</v>
      </c>
      <c r="B22" s="66" t="s">
        <v>56</v>
      </c>
      <c r="C22" s="33">
        <f>135938*15.9%</f>
        <v>21614.142</v>
      </c>
      <c r="D22" s="33">
        <f>103927*15.9%</f>
        <v>16524.393</v>
      </c>
      <c r="E22" s="33">
        <f t="shared" si="3"/>
        <v>5089.7489999999998</v>
      </c>
      <c r="F22" s="34">
        <f t="shared" si="4"/>
        <v>0.2354823522488193</v>
      </c>
    </row>
    <row r="23" spans="1:9" s="107" customFormat="1">
      <c r="A23" s="185" t="s">
        <v>127</v>
      </c>
      <c r="B23" s="186" t="s">
        <v>173</v>
      </c>
      <c r="C23" s="187">
        <f>(36493+9984)*'Brændselsfordeling Nørager'!C13</f>
        <v>9956.5778025838426</v>
      </c>
      <c r="D23" s="187">
        <f>34010*'Brændselsfordeling Nørager'!C13</f>
        <v>7285.8233333880526</v>
      </c>
      <c r="E23" s="188">
        <f t="shared" si="3"/>
        <v>2670.7544691957901</v>
      </c>
      <c r="F23" s="189">
        <v>0.25</v>
      </c>
    </row>
    <row r="24" spans="1:9" s="107" customFormat="1">
      <c r="A24" s="31" t="s">
        <v>124</v>
      </c>
      <c r="B24" s="32" t="s">
        <v>129</v>
      </c>
      <c r="C24" s="33">
        <v>3759.2999999999993</v>
      </c>
      <c r="D24" s="33">
        <v>2344.3000000000002</v>
      </c>
      <c r="E24" s="33">
        <f t="shared" si="3"/>
        <v>1414.9999999999991</v>
      </c>
      <c r="F24" s="34">
        <f t="shared" si="4"/>
        <v>0.37639986167637574</v>
      </c>
    </row>
    <row r="25" spans="1:9" s="107" customFormat="1">
      <c r="A25" s="31" t="s">
        <v>117</v>
      </c>
      <c r="B25" s="66" t="s">
        <v>176</v>
      </c>
      <c r="C25" s="33">
        <v>41445</v>
      </c>
      <c r="D25" s="33">
        <v>30209</v>
      </c>
      <c r="E25" s="33">
        <f t="shared" si="3"/>
        <v>11236</v>
      </c>
      <c r="F25" s="34">
        <f t="shared" si="4"/>
        <v>0.27110628543853299</v>
      </c>
    </row>
    <row r="26" spans="1:9" s="107" customFormat="1">
      <c r="A26" s="31" t="s">
        <v>111</v>
      </c>
      <c r="B26" s="66" t="s">
        <v>176</v>
      </c>
      <c r="C26" s="33">
        <v>65122</v>
      </c>
      <c r="D26" s="33">
        <v>50550</v>
      </c>
      <c r="E26" s="33">
        <f t="shared" si="3"/>
        <v>14572</v>
      </c>
      <c r="F26" s="34">
        <f t="shared" si="4"/>
        <v>0.22376462639353828</v>
      </c>
    </row>
    <row r="27" spans="1:9" s="107" customFormat="1">
      <c r="A27" s="31" t="s">
        <v>125</v>
      </c>
      <c r="B27" s="66" t="s">
        <v>56</v>
      </c>
      <c r="C27" s="33">
        <v>17813</v>
      </c>
      <c r="D27" s="33">
        <v>13369</v>
      </c>
      <c r="E27" s="33">
        <f t="shared" si="3"/>
        <v>4444</v>
      </c>
      <c r="F27" s="34">
        <f t="shared" si="4"/>
        <v>0.24948071633076965</v>
      </c>
    </row>
    <row r="28" spans="1:9" s="107" customFormat="1" ht="15.75" thickBot="1">
      <c r="A28" s="35" t="s">
        <v>112</v>
      </c>
      <c r="B28" s="57" t="s">
        <v>176</v>
      </c>
      <c r="C28" s="55">
        <v>9755</v>
      </c>
      <c r="D28" s="55">
        <v>6878</v>
      </c>
      <c r="E28" s="55">
        <f t="shared" si="3"/>
        <v>2877</v>
      </c>
      <c r="F28" s="56">
        <f t="shared" si="4"/>
        <v>0.29492567913890311</v>
      </c>
    </row>
    <row r="29" spans="1:9" s="107" customFormat="1" ht="15.75" thickBot="1">
      <c r="A29" s="39" t="s">
        <v>46</v>
      </c>
      <c r="B29" s="52"/>
      <c r="C29" s="53">
        <f>SUM(C20:C28)</f>
        <v>178712.01980258385</v>
      </c>
      <c r="D29" s="53">
        <f>SUM(D20:D28)</f>
        <v>134122.51633338805</v>
      </c>
      <c r="E29" s="53">
        <f t="shared" si="3"/>
        <v>44589.503469195799</v>
      </c>
      <c r="F29" s="100">
        <f t="shared" si="4"/>
        <v>0.24950478159472469</v>
      </c>
    </row>
    <row r="30" spans="1:9" s="107" customFormat="1">
      <c r="A30" s="114" t="s">
        <v>192</v>
      </c>
      <c r="B30" s="114"/>
      <c r="C30" s="114"/>
      <c r="D30" s="114"/>
      <c r="E30" s="114"/>
      <c r="F30" s="114"/>
    </row>
    <row r="31" spans="1:9" s="107" customFormat="1">
      <c r="A31" s="114" t="s">
        <v>193</v>
      </c>
      <c r="B31" s="114"/>
      <c r="C31" s="114"/>
      <c r="D31" s="114"/>
      <c r="E31" s="114"/>
      <c r="F31" s="114"/>
    </row>
    <row r="32" spans="1:9" s="107" customFormat="1">
      <c r="A32" s="114"/>
      <c r="B32" s="114"/>
      <c r="C32" s="114"/>
      <c r="D32" s="114"/>
      <c r="E32" s="114"/>
      <c r="F32" s="114"/>
      <c r="I32" s="83"/>
    </row>
    <row r="33" spans="1:9" ht="15.75" thickBot="1">
      <c r="A33" s="21" t="s">
        <v>25</v>
      </c>
      <c r="B33" s="21">
        <v>2016</v>
      </c>
    </row>
    <row r="34" spans="1:9" ht="15.75" thickBot="1">
      <c r="A34" s="23" t="s">
        <v>31</v>
      </c>
      <c r="B34" s="24" t="s">
        <v>55</v>
      </c>
      <c r="C34" s="25" t="s">
        <v>32</v>
      </c>
      <c r="D34" s="25" t="s">
        <v>33</v>
      </c>
      <c r="E34" s="26" t="s">
        <v>34</v>
      </c>
      <c r="F34" s="26" t="s">
        <v>35</v>
      </c>
    </row>
    <row r="35" spans="1:9">
      <c r="A35" s="27" t="s">
        <v>109</v>
      </c>
      <c r="B35" s="65" t="s">
        <v>56</v>
      </c>
      <c r="C35" s="29">
        <v>9045</v>
      </c>
      <c r="D35" s="29">
        <v>6407</v>
      </c>
      <c r="E35" s="29">
        <f t="shared" ref="E35:E44" si="5">C35-D35</f>
        <v>2638</v>
      </c>
      <c r="F35" s="51">
        <f>IFERROR(E35/C35,"")</f>
        <v>0.29165284687672749</v>
      </c>
    </row>
    <row r="36" spans="1:9">
      <c r="A36" s="31" t="s">
        <v>123</v>
      </c>
      <c r="B36" s="66"/>
      <c r="C36" s="22"/>
      <c r="D36" s="33"/>
      <c r="E36" s="62">
        <f t="shared" si="5"/>
        <v>0</v>
      </c>
      <c r="F36" s="34" t="str">
        <f t="shared" ref="F36:F44" si="6">IFERROR(E36/C36,"")</f>
        <v/>
      </c>
    </row>
    <row r="37" spans="1:9">
      <c r="A37" s="31" t="s">
        <v>126</v>
      </c>
      <c r="B37" s="66" t="s">
        <v>56</v>
      </c>
      <c r="C37" s="33">
        <f>135938*15.9%</f>
        <v>21614.142</v>
      </c>
      <c r="D37" s="33">
        <f>103927*15.9%</f>
        <v>16524.393</v>
      </c>
      <c r="E37" s="33">
        <f t="shared" si="5"/>
        <v>5089.7489999999998</v>
      </c>
      <c r="F37" s="34">
        <f t="shared" si="6"/>
        <v>0.2354823522488193</v>
      </c>
    </row>
    <row r="38" spans="1:9">
      <c r="A38" s="185" t="s">
        <v>127</v>
      </c>
      <c r="B38" s="186" t="s">
        <v>173</v>
      </c>
      <c r="C38" s="187">
        <f>(36493+9984)*'Brændselsfordeling Nørager'!B13</f>
        <v>10057.945310202882</v>
      </c>
      <c r="D38" s="187">
        <f>34010*'Brændselsfordeling Nørager'!B13</f>
        <v>7360</v>
      </c>
      <c r="E38" s="188">
        <f t="shared" si="5"/>
        <v>2697.945310202882</v>
      </c>
      <c r="F38" s="189">
        <f t="shared" si="6"/>
        <v>0.26824020483249783</v>
      </c>
    </row>
    <row r="39" spans="1:9">
      <c r="A39" s="31" t="s">
        <v>124</v>
      </c>
      <c r="B39" s="32" t="s">
        <v>129</v>
      </c>
      <c r="C39" s="33">
        <v>3759.2999999999993</v>
      </c>
      <c r="D39" s="33">
        <v>2344.3000000000002</v>
      </c>
      <c r="E39" s="33">
        <f t="shared" si="5"/>
        <v>1414.9999999999991</v>
      </c>
      <c r="F39" s="34">
        <f t="shared" si="6"/>
        <v>0.37639986167637574</v>
      </c>
    </row>
    <row r="40" spans="1:9">
      <c r="A40" s="31" t="s">
        <v>117</v>
      </c>
      <c r="B40" s="66" t="s">
        <v>56</v>
      </c>
      <c r="C40" s="33">
        <v>38586</v>
      </c>
      <c r="D40" s="33">
        <v>28659</v>
      </c>
      <c r="E40" s="33">
        <f t="shared" si="5"/>
        <v>9927</v>
      </c>
      <c r="F40" s="34">
        <f t="shared" si="6"/>
        <v>0.25726947597574251</v>
      </c>
    </row>
    <row r="41" spans="1:9">
      <c r="A41" s="31" t="s">
        <v>111</v>
      </c>
      <c r="B41" s="66" t="s">
        <v>56</v>
      </c>
      <c r="C41" s="33">
        <v>59317</v>
      </c>
      <c r="D41" s="33">
        <v>45132</v>
      </c>
      <c r="E41" s="33">
        <f t="shared" si="5"/>
        <v>14185</v>
      </c>
      <c r="F41" s="34">
        <f t="shared" si="6"/>
        <v>0.23913886406932244</v>
      </c>
    </row>
    <row r="42" spans="1:9">
      <c r="A42" s="31" t="s">
        <v>125</v>
      </c>
      <c r="B42" s="66" t="s">
        <v>56</v>
      </c>
      <c r="C42" s="33">
        <v>17813</v>
      </c>
      <c r="D42" s="33">
        <v>13369</v>
      </c>
      <c r="E42" s="33">
        <f t="shared" si="5"/>
        <v>4444</v>
      </c>
      <c r="F42" s="34">
        <f t="shared" si="6"/>
        <v>0.24948071633076965</v>
      </c>
    </row>
    <row r="43" spans="1:9" ht="15.75" thickBot="1">
      <c r="A43" s="35" t="s">
        <v>112</v>
      </c>
      <c r="B43" s="57" t="s">
        <v>56</v>
      </c>
      <c r="C43" s="55">
        <v>9427</v>
      </c>
      <c r="D43" s="55">
        <v>6533</v>
      </c>
      <c r="E43" s="55">
        <f t="shared" si="5"/>
        <v>2894</v>
      </c>
      <c r="F43" s="56">
        <f t="shared" si="6"/>
        <v>0.30699055903256606</v>
      </c>
    </row>
    <row r="44" spans="1:9" ht="15.75" thickBot="1">
      <c r="A44" s="39" t="s">
        <v>46</v>
      </c>
      <c r="B44" s="52"/>
      <c r="C44" s="53">
        <f>SUM(C35:C43)</f>
        <v>169619.38731020287</v>
      </c>
      <c r="D44" s="53">
        <f>SUM(D35:D43)</f>
        <v>126328.693</v>
      </c>
      <c r="E44" s="53">
        <f t="shared" si="5"/>
        <v>43290.694310202874</v>
      </c>
      <c r="F44" s="100">
        <f t="shared" si="6"/>
        <v>0.25522256032579638</v>
      </c>
    </row>
    <row r="45" spans="1:9">
      <c r="A45" s="21" t="s">
        <v>128</v>
      </c>
    </row>
    <row r="46" spans="1:9">
      <c r="A46" s="21" t="s">
        <v>230</v>
      </c>
    </row>
    <row r="47" spans="1:9">
      <c r="I47" s="83"/>
    </row>
    <row r="49" spans="1:5" ht="15.75" thickBot="1">
      <c r="A49" s="21" t="s">
        <v>25</v>
      </c>
      <c r="B49" s="21">
        <v>2015</v>
      </c>
      <c r="C49" s="21" t="s">
        <v>105</v>
      </c>
    </row>
    <row r="50" spans="1:5" ht="15.75" thickBot="1">
      <c r="A50" s="23"/>
      <c r="B50" s="24" t="s">
        <v>106</v>
      </c>
      <c r="C50" s="25" t="s">
        <v>107</v>
      </c>
      <c r="D50" s="25" t="s">
        <v>34</v>
      </c>
      <c r="E50" s="26" t="s">
        <v>108</v>
      </c>
    </row>
    <row r="51" spans="1:5">
      <c r="A51" s="27" t="s">
        <v>109</v>
      </c>
      <c r="B51" s="59">
        <v>8584</v>
      </c>
      <c r="C51" s="60">
        <v>6290</v>
      </c>
      <c r="D51" s="60">
        <f>B51-C51</f>
        <v>2294</v>
      </c>
      <c r="E51" s="51">
        <f>IFERROR(D51/B51,"")</f>
        <v>0.26724137931034481</v>
      </c>
    </row>
    <row r="52" spans="1:5">
      <c r="A52" s="31" t="s">
        <v>110</v>
      </c>
      <c r="B52" s="61"/>
      <c r="C52" s="62"/>
      <c r="D52" s="62">
        <f t="shared" ref="D52:D62" si="7">B52-C52</f>
        <v>0</v>
      </c>
      <c r="E52" s="80" t="str">
        <f t="shared" ref="E52:E62" si="8">IFERROR(D52/B52,"")</f>
        <v/>
      </c>
    </row>
    <row r="53" spans="1:5">
      <c r="A53" s="31" t="s">
        <v>111</v>
      </c>
      <c r="B53" s="32">
        <v>56986</v>
      </c>
      <c r="C53" s="33">
        <v>43473</v>
      </c>
      <c r="D53" s="33">
        <f t="shared" si="7"/>
        <v>13513</v>
      </c>
      <c r="E53" s="80">
        <f t="shared" si="8"/>
        <v>0.23712841750605412</v>
      </c>
    </row>
    <row r="54" spans="1:5">
      <c r="A54" s="31" t="s">
        <v>112</v>
      </c>
      <c r="B54" s="32">
        <v>9208</v>
      </c>
      <c r="C54" s="33">
        <v>6304.625</v>
      </c>
      <c r="D54" s="33">
        <f t="shared" si="7"/>
        <v>2903.375</v>
      </c>
      <c r="E54" s="80">
        <f t="shared" si="8"/>
        <v>0.31531005647263249</v>
      </c>
    </row>
    <row r="55" spans="1:5">
      <c r="A55" s="31" t="s">
        <v>113</v>
      </c>
      <c r="B55" s="32"/>
      <c r="C55" s="33"/>
      <c r="D55" s="33">
        <f t="shared" si="7"/>
        <v>0</v>
      </c>
      <c r="E55" s="80" t="str">
        <f t="shared" si="8"/>
        <v/>
      </c>
    </row>
    <row r="56" spans="1:5">
      <c r="A56" s="31" t="s">
        <v>114</v>
      </c>
      <c r="B56" s="32"/>
      <c r="C56" s="33"/>
      <c r="D56" s="33">
        <f t="shared" si="7"/>
        <v>0</v>
      </c>
      <c r="E56" s="80" t="str">
        <f t="shared" si="8"/>
        <v/>
      </c>
    </row>
    <row r="57" spans="1:5">
      <c r="A57" s="31" t="s">
        <v>115</v>
      </c>
      <c r="B57" s="32"/>
      <c r="C57" s="33"/>
      <c r="D57" s="33">
        <f t="shared" si="7"/>
        <v>0</v>
      </c>
      <c r="E57" s="80" t="str">
        <f t="shared" si="8"/>
        <v/>
      </c>
    </row>
    <row r="58" spans="1:5">
      <c r="A58" s="31" t="s">
        <v>116</v>
      </c>
      <c r="B58" s="32"/>
      <c r="C58" s="33"/>
      <c r="D58" s="33">
        <f t="shared" si="7"/>
        <v>0</v>
      </c>
      <c r="E58" s="80" t="str">
        <f t="shared" si="8"/>
        <v/>
      </c>
    </row>
    <row r="59" spans="1:5">
      <c r="A59" s="31" t="s">
        <v>117</v>
      </c>
      <c r="B59" s="32">
        <v>36998</v>
      </c>
      <c r="C59" s="33">
        <v>27650</v>
      </c>
      <c r="D59" s="33">
        <f t="shared" si="7"/>
        <v>9348</v>
      </c>
      <c r="E59" s="80">
        <f t="shared" si="8"/>
        <v>0.25266230607059842</v>
      </c>
    </row>
    <row r="60" spans="1:5">
      <c r="A60" s="31" t="s">
        <v>118</v>
      </c>
      <c r="B60" s="32"/>
      <c r="C60" s="33"/>
      <c r="D60" s="33">
        <f t="shared" si="7"/>
        <v>0</v>
      </c>
      <c r="E60" s="80" t="str">
        <f t="shared" si="8"/>
        <v/>
      </c>
    </row>
    <row r="61" spans="1:5" ht="15.75" thickBot="1">
      <c r="A61" s="35" t="s">
        <v>119</v>
      </c>
      <c r="B61" s="57"/>
      <c r="C61" s="55"/>
      <c r="D61" s="55">
        <f t="shared" si="7"/>
        <v>0</v>
      </c>
      <c r="E61" s="81" t="str">
        <f t="shared" si="8"/>
        <v/>
      </c>
    </row>
    <row r="62" spans="1:5" ht="15.75" thickBot="1">
      <c r="A62" s="39" t="s">
        <v>46</v>
      </c>
      <c r="B62" s="52">
        <f>SUM(B51:B61)</f>
        <v>111776</v>
      </c>
      <c r="C62" s="53">
        <f>SUM(C51:C61)</f>
        <v>83717.625</v>
      </c>
      <c r="D62" s="53">
        <f t="shared" si="7"/>
        <v>28058.375</v>
      </c>
      <c r="E62" s="100">
        <f t="shared" si="8"/>
        <v>0.2510232518608646</v>
      </c>
    </row>
    <row r="63" spans="1:5">
      <c r="A63" s="21" t="s">
        <v>120</v>
      </c>
    </row>
    <row r="64" spans="1:5">
      <c r="A64" s="21" t="s">
        <v>121</v>
      </c>
    </row>
    <row r="65" spans="1:1">
      <c r="A65" s="21" t="s">
        <v>122</v>
      </c>
    </row>
    <row r="95" s="4" customFormat="1"/>
  </sheetData>
  <sortState xmlns:xlrd2="http://schemas.microsoft.com/office/spreadsheetml/2017/richdata2" ref="A36:A44">
    <sortCondition ref="A35"/>
  </sortState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54BD9D84-83E8-4497-8C49-A775937BE839}"/>
</file>

<file path=customXml/itemProps2.xml><?xml version="1.0" encoding="utf-8"?>
<ds:datastoreItem xmlns:ds="http://schemas.openxmlformats.org/officeDocument/2006/customXml" ds:itemID="{781DCE92-9944-463B-899C-FA6561F3AAC0}"/>
</file>

<file path=customXml/itemProps3.xml><?xml version="1.0" encoding="utf-8"?>
<ds:datastoreItem xmlns:ds="http://schemas.openxmlformats.org/officeDocument/2006/customXml" ds:itemID="{9326C2B7-38DE-4B65-912A-C0FA1D6D3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Nettab 1081 Region Nordjylland</vt:lpstr>
      <vt:lpstr>Nettab 810 Brønderslev</vt:lpstr>
      <vt:lpstr>Nettab 813 Frederikshavn</vt:lpstr>
      <vt:lpstr>Nettab 860 Hjørring</vt:lpstr>
      <vt:lpstr>Nettab 849 Jammerbugt</vt:lpstr>
      <vt:lpstr>Nettab 825 Læsø</vt:lpstr>
      <vt:lpstr>Nettab 846 Mariagerfjord</vt:lpstr>
      <vt:lpstr>Nettab 773 Morsø</vt:lpstr>
      <vt:lpstr>Nettab 840 Rebild</vt:lpstr>
      <vt:lpstr>Nettab 787 Thisted</vt:lpstr>
      <vt:lpstr>Nettab 820 Vesthimmerland</vt:lpstr>
      <vt:lpstr>Nettab 851 Aalborg</vt:lpstr>
      <vt:lpstr>Brændselsfordeling Nørager</vt:lpstr>
      <vt:lpstr>Brændselsfordeling Suldrup-Aars</vt:lpstr>
      <vt:lpstr>BBR fordeling - Ølgod</vt:lpstr>
      <vt:lpstr>BBR fordeling - Varde Varme</vt:lpstr>
      <vt:lpstr>BBR fordeling - Nørre Nebel</vt:lpstr>
      <vt:lpstr>BBR fordeling - Skovlund</vt:lpstr>
      <vt:lpstr>BBR fordeling - Bramming</vt:lpstr>
      <vt:lpstr>BBR fordeling - Outrup</vt:lpstr>
      <vt:lpstr>BBR fordeling - Ribe</vt:lpstr>
      <vt:lpstr>BBR fordeling - Esbjerg Varme</vt:lpstr>
      <vt:lpstr>BBR fordeling - Oksbøl</vt:lpstr>
      <vt:lpstr>BBR fordeling - Sig</vt:lpstr>
      <vt:lpstr>BBR fordeling - Ansager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Stendorf Sørensen</dc:creator>
  <cp:lastModifiedBy>Max Gunnar Ansas Guddat</cp:lastModifiedBy>
  <cp:lastPrinted>2017-12-18T09:30:46Z</cp:lastPrinted>
  <dcterms:created xsi:type="dcterms:W3CDTF">2016-10-13T08:58:43Z</dcterms:created>
  <dcterms:modified xsi:type="dcterms:W3CDTF">2022-02-10T20:56:38Z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